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ENUNCIADO EL LIMON DULCE" sheetId="1" r:id="rId1"/>
    <sheet name="HOJA COSTO EL LIMON DULCE" sheetId="2" r:id="rId2"/>
    <sheet name="Otros anexos" sheetId="3" r:id="rId3"/>
    <sheet name="ANEXOS EL LIMON DULCE" sheetId="4" r:id="rId4"/>
    <sheet name="PARTIDAS EL LIMON DULCE" sheetId="5" r:id="rId5"/>
    <sheet name="ER EL LIMON DULCE" sheetId="6" r:id="rId6"/>
  </sheets>
  <definedNames/>
  <calcPr fullCalcOnLoad="1"/>
</workbook>
</file>

<file path=xl/sharedStrings.xml><?xml version="1.0" encoding="utf-8"?>
<sst xmlns="http://schemas.openxmlformats.org/spreadsheetml/2006/main" count="259" uniqueCount="179">
  <si>
    <t>CONTABILIDAD VIII</t>
  </si>
  <si>
    <t>*</t>
  </si>
  <si>
    <t>CONCEPTO</t>
  </si>
  <si>
    <t>ADMINISTRACION</t>
  </si>
  <si>
    <t>GASTOS</t>
  </si>
  <si>
    <t>INVENTARIO</t>
  </si>
  <si>
    <t>BANCOS</t>
  </si>
  <si>
    <t>INSUMOS</t>
  </si>
  <si>
    <t>Semilla</t>
  </si>
  <si>
    <t>MOD</t>
  </si>
  <si>
    <t>Salarios</t>
  </si>
  <si>
    <t>Bonificacion</t>
  </si>
  <si>
    <t>Prestaciones lab.</t>
  </si>
  <si>
    <t>Cuota patronal</t>
  </si>
  <si>
    <t>GASTOS INDIRECTOS</t>
  </si>
  <si>
    <t>Sueldos</t>
  </si>
  <si>
    <t>Honorarios</t>
  </si>
  <si>
    <t>Depreciaciones</t>
  </si>
  <si>
    <t>Costo total</t>
  </si>
  <si>
    <t>HOJA DE COSTO</t>
  </si>
  <si>
    <t>COSTO COSECHA</t>
  </si>
  <si>
    <t>ANEXO 1</t>
  </si>
  <si>
    <t>DEPRECIACIONES</t>
  </si>
  <si>
    <t>EDIFICIOS</t>
  </si>
  <si>
    <t>Casa patronal</t>
  </si>
  <si>
    <t>VALOR</t>
  </si>
  <si>
    <t>%</t>
  </si>
  <si>
    <t>MAQUINARIA</t>
  </si>
  <si>
    <t>TOTAL DEPRECIACIONES</t>
  </si>
  <si>
    <t>CAJAS PRODUCIDAS</t>
  </si>
  <si>
    <t>COSTO UNITARIO CAJA</t>
  </si>
  <si>
    <t>PARTIDA 1</t>
  </si>
  <si>
    <t>Caja y Bancos</t>
  </si>
  <si>
    <t>TOTAL</t>
  </si>
  <si>
    <t>PARTIDA 2</t>
  </si>
  <si>
    <t>Insumos</t>
  </si>
  <si>
    <t>MO</t>
  </si>
  <si>
    <t>Gastos Indirectos</t>
  </si>
  <si>
    <t>ACTIVO NO CORRIENTE</t>
  </si>
  <si>
    <t>GASTOS ADMINISTRACION</t>
  </si>
  <si>
    <t>INVENTARIOS</t>
  </si>
  <si>
    <t>DEPRECIACION ACUMULADA</t>
  </si>
  <si>
    <t>BANCO JINETEO</t>
  </si>
  <si>
    <t>PARTIDA 3</t>
  </si>
  <si>
    <t>VENTAS</t>
  </si>
  <si>
    <t>PARTIDA 4</t>
  </si>
  <si>
    <t>COSTO DE VENTAS</t>
  </si>
  <si>
    <t>Ventas</t>
  </si>
  <si>
    <t>Costo de Ventas</t>
  </si>
  <si>
    <t>Ganancia marginal</t>
  </si>
  <si>
    <t>GASTOS DE OPERACIÓN</t>
  </si>
  <si>
    <t>INGRESOS</t>
  </si>
  <si>
    <t>Gastos de administracion</t>
  </si>
  <si>
    <t>Ganancia en operación</t>
  </si>
  <si>
    <t>ISR</t>
  </si>
  <si>
    <t>Ganancia del ejercicio</t>
  </si>
  <si>
    <t>ESTADO DE RESULTADOS</t>
  </si>
  <si>
    <t>CIFRAS EXPRESADAS EN Q.</t>
  </si>
  <si>
    <t>Reserva Legal</t>
  </si>
  <si>
    <t>Ganancia real</t>
  </si>
  <si>
    <t>EL LIMON DULCE, S. A.</t>
  </si>
  <si>
    <t>GUAYABA</t>
  </si>
  <si>
    <t>LIMON</t>
  </si>
  <si>
    <t>LIMA</t>
  </si>
  <si>
    <t>ARVEJA</t>
  </si>
  <si>
    <t>Abono</t>
  </si>
  <si>
    <t>Energia electrica</t>
  </si>
  <si>
    <t>Agua</t>
  </si>
  <si>
    <t>Gasolina y respuestos</t>
  </si>
  <si>
    <t>Canastos</t>
  </si>
  <si>
    <t>PRODUCCION</t>
  </si>
  <si>
    <t>MANZANAS</t>
  </si>
  <si>
    <t>qq</t>
  </si>
  <si>
    <t>TOTAL PRODUCCION</t>
  </si>
  <si>
    <t>Seguros</t>
  </si>
  <si>
    <t>ACTIVO BIOLOGICO</t>
  </si>
  <si>
    <t>Plantacion Guayaba</t>
  </si>
  <si>
    <t>Plantacion Limon</t>
  </si>
  <si>
    <t>Plantacion Lima</t>
  </si>
  <si>
    <t>Clasificadora de Limones y guayabas</t>
  </si>
  <si>
    <t>Clasificadora de plantaciones temporales</t>
  </si>
  <si>
    <t>Tractor</t>
  </si>
  <si>
    <t>GASTO COSECHA ACUMULADO</t>
  </si>
  <si>
    <t>ACTIVO CORRIENTE</t>
  </si>
  <si>
    <t>Plantacion de lima en proceso</t>
  </si>
  <si>
    <t>COSTO COSECHA GUAYABA</t>
  </si>
  <si>
    <t>COSTO COSECHA DE LIMON</t>
  </si>
  <si>
    <t>COSTO COSECHA DE LIMA</t>
  </si>
  <si>
    <t>COSTO COSECHA DE ARVEJA</t>
  </si>
  <si>
    <t>Cosecha limon</t>
  </si>
  <si>
    <t>Cosecha lima</t>
  </si>
  <si>
    <t>Cosecha arveja</t>
  </si>
  <si>
    <t>Costo cosecha guayaba</t>
  </si>
  <si>
    <t>Cosecha guayaba</t>
  </si>
  <si>
    <t>Costo cosecha limon</t>
  </si>
  <si>
    <t>Costo cosecha lima</t>
  </si>
  <si>
    <t>Costo cosehca arveja</t>
  </si>
  <si>
    <t>Guayaba</t>
  </si>
  <si>
    <t>Limon</t>
  </si>
  <si>
    <t>Lima</t>
  </si>
  <si>
    <t>Arveja</t>
  </si>
  <si>
    <t>Semilla de limon</t>
  </si>
  <si>
    <t>DEL  01 DE ENERO AL 31 DE DICIEMBRE 2010</t>
  </si>
  <si>
    <t>2009 inicio trabajos para cultivar Arveja en 20 manzanas de tierra. Su balance de saldos al 01-01-10</t>
  </si>
  <si>
    <t>presenta los siguientes valores:</t>
  </si>
  <si>
    <t>Costo acumulado plantacion estacionaria (2009)</t>
  </si>
  <si>
    <t>¿?</t>
  </si>
  <si>
    <t>Plantacion de guayaba</t>
  </si>
  <si>
    <t>Plantacion de limon (200 manzanas de tierra)</t>
  </si>
  <si>
    <t>Inventario de semilla, fertilizantes y herbicidas</t>
  </si>
  <si>
    <t>Clasificadora de Limones y Guayaba</t>
  </si>
  <si>
    <t>Tractores (30% c/plantacion fija, el resto otras plantaciones)</t>
  </si>
  <si>
    <t>Plantacion de lima en proceso (2009, 200 manzanas)</t>
  </si>
  <si>
    <t>Propiedad inmueble (casa patronal Q. 150,000.00)</t>
  </si>
  <si>
    <t>Cosecha de limon (2009) 600 qq</t>
  </si>
  <si>
    <t>El agronomo informo que: el cultivo de arveja producira este año por cosecha en junio y diciembre, 200</t>
  </si>
  <si>
    <t>qq por manzana, que la plantacion de lima esta lista para producir a partir del 01-01-10 y que cada una de</t>
  </si>
  <si>
    <t>las 200 manzanas de todas las plantaciones fijas produciran anualmente 200qq cada una.</t>
  </si>
  <si>
    <t>Insumos pagados y/o consumidos en el año:</t>
  </si>
  <si>
    <t>Energia electrica: Q. 50,000.00 (Equitativamente entre plantaciones fijas en produccion 2010, plantaciones</t>
  </si>
  <si>
    <t>temporales y administracion).</t>
  </si>
  <si>
    <t>Agua: Q. 50,000.00 (de igual distribucion del item anterior)</t>
  </si>
  <si>
    <t>Gasolina y repuestos: Se compraron Q. 100,000.00 (75% plantaciones fijas en produccion 2010, el resto</t>
  </si>
  <si>
    <t>otras plantaciones). La administracion gasto Q. 25,000.00 de gasolina</t>
  </si>
  <si>
    <t>Semilla de arveja: se utilizaron Q. 500.00 por cada manzana cultivada, por cada cosecha.</t>
  </si>
  <si>
    <t>Abono: se compraron 1800qq a Q. 100.00 c/u utilizado asi: 150qq en cada plantacion fija en produccion 2010</t>
  </si>
  <si>
    <t>y 100qq en cada siembra de plantacion temporal.</t>
  </si>
  <si>
    <t>Insecticidas: se compraron insecticidas por Q. 100,000.00, se uso el 75% entre todas las plantaciones</t>
  </si>
  <si>
    <t>fijas en produccion 2010, el resto las demas plantaciones.</t>
  </si>
  <si>
    <t>Canastos para recolectar cosecha: se compraron Q. 200,000.00 y se destruyeron todos (Disribuir en pro-</t>
  </si>
  <si>
    <t>porcion a los quintales cosechados).</t>
  </si>
  <si>
    <t>Otros gastos:</t>
  </si>
  <si>
    <t>Se adquirio un seguro agricola el 01-01-2010 por valor de Q. 100,000.00 para garantizar todas las cosechas</t>
  </si>
  <si>
    <t>del 2010. (90% plantaciones fijas productivas 2010 y 10% plantaciones estacionarias).</t>
  </si>
  <si>
    <t>Agronomo: Q. 100,000.00 (75% entre plantaciones fijas equitativamente y 25% estacionarias).</t>
  </si>
  <si>
    <t>Sueldos y Salarios</t>
  </si>
  <si>
    <t>Administrador: Q. 60,000.00 anuales y Q. 3,000.00 de bonificacion incentivo )80% equitativamente entre</t>
  </si>
  <si>
    <t>plantaciones fijas y estacionarias y 20% para la administracion).</t>
  </si>
  <si>
    <t>Peones: SE contrataron el total de 30 peones para cultivos fijos productivos 2010 (equitativamente) a</t>
  </si>
  <si>
    <t>Q. 1,800.00 mensual y Q. 250.00 de bonificacion incentivo de cada uno).</t>
  </si>
  <si>
    <t>Peones: 10 peones para el cultivo estacionario. (igual salario y beneficios que los anteriores).</t>
  </si>
  <si>
    <t>La empresa paga el 10% de cuota patronal y 30% de prestaciones laborales en el mismo ejercicio, no deja</t>
  </si>
  <si>
    <t>ninguna cuenta por pagar.</t>
  </si>
  <si>
    <t>Ingresos por venta:</t>
  </si>
  <si>
    <t>Semilla de limon: (obtenida del limon podrido) se vendieron 10 libras a Q. 150.00 cada una.</t>
  </si>
  <si>
    <t>Toda la produccion existente de los cultivos estacionarios a Q. 350.00 cada quintal.</t>
  </si>
  <si>
    <t>90% de toda la existencia de cultivos fijos al doble de su costo de produccion.</t>
  </si>
  <si>
    <t>Se pide:</t>
  </si>
  <si>
    <t>Costo acumulado plantacion estacionaria 2009</t>
  </si>
  <si>
    <t>COSECHA</t>
  </si>
  <si>
    <t>COSTO UNITARIO CON INVENTARIO INCIAL</t>
  </si>
  <si>
    <t>UNIVERSIDAD DE SAN CARLOS DE GUATEMALA</t>
  </si>
  <si>
    <t>FAC. CIENCIAS ECONOMICAS-ESCUELA DE AUDITORIA - PLAN FIN DE SEMANA</t>
  </si>
  <si>
    <t>Capital social</t>
  </si>
  <si>
    <t>La agropecuaria "El Limon Dulce, S. A.", dispone de plantaciones de Guayaba, y Limon. En septiembre</t>
  </si>
  <si>
    <t>Estado de costo de produccion por cultivo y costo unitario por quintal cosechado. ( no aplicar iva ni isr en las operaciones )</t>
  </si>
  <si>
    <t>EJERCICIO</t>
  </si>
  <si>
    <t>Insecticidas</t>
  </si>
  <si>
    <t>peones</t>
  </si>
  <si>
    <t>salario mensual</t>
  </si>
  <si>
    <t>meses del año</t>
  </si>
  <si>
    <t>Bonificación</t>
  </si>
  <si>
    <t>salario anual</t>
  </si>
  <si>
    <t>Prestaciones laborales</t>
  </si>
  <si>
    <t>MANO DE OBRA DIRECTA</t>
  </si>
  <si>
    <t>plantaciones</t>
  </si>
  <si>
    <t>ADMON</t>
  </si>
  <si>
    <t>( 30 peones / 3 cultivos fijos)</t>
  </si>
  <si>
    <t>Sueldo  administrador</t>
  </si>
  <si>
    <t>Cultivos</t>
  </si>
  <si>
    <t>bonificiación anual</t>
  </si>
  <si>
    <t>Energía electrica</t>
  </si>
  <si>
    <t>producción quintales</t>
  </si>
  <si>
    <t>Monto</t>
  </si>
  <si>
    <t>por cultivo</t>
  </si>
  <si>
    <t>Seguro</t>
  </si>
  <si>
    <t>cultivos fijos</t>
  </si>
  <si>
    <t>cultivos estacionarios</t>
  </si>
  <si>
    <t>Agronomo</t>
  </si>
</sst>
</file>

<file path=xl/styles.xml><?xml version="1.0" encoding="utf-8"?>
<styleSheet xmlns="http://schemas.openxmlformats.org/spreadsheetml/2006/main">
  <numFmts count="31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Q&quot;;\-#,##0\ &quot;Q&quot;"/>
    <numFmt numFmtId="165" formatCode="#,##0\ &quot;Q&quot;;[Red]\-#,##0\ &quot;Q&quot;"/>
    <numFmt numFmtId="166" formatCode="#,##0.00\ &quot;Q&quot;;\-#,##0.00\ &quot;Q&quot;"/>
    <numFmt numFmtId="167" formatCode="#,##0.00\ &quot;Q&quot;;[Red]\-#,##0.00\ &quot;Q&quot;"/>
    <numFmt numFmtId="168" formatCode="_-* #,##0\ &quot;Q&quot;_-;\-* #,##0\ &quot;Q&quot;_-;_-* &quot;-&quot;\ &quot;Q&quot;_-;_-@_-"/>
    <numFmt numFmtId="169" formatCode="_-* #,##0\ _Q_-;\-* #,##0\ _Q_-;_-* &quot;-&quot;\ _Q_-;_-@_-"/>
    <numFmt numFmtId="170" formatCode="_-* #,##0.00\ &quot;Q&quot;_-;\-* #,##0.00\ &quot;Q&quot;_-;_-* &quot;-&quot;??\ &quot;Q&quot;_-;_-@_-"/>
    <numFmt numFmtId="171" formatCode="_-* #,##0.00\ _Q_-;\-* #,##0.00\ _Q_-;_-* &quot;-&quot;??\ _Q_-;_-@_-"/>
    <numFmt numFmtId="172" formatCode="#,##0.00\ &quot;Q&quot;"/>
    <numFmt numFmtId="173" formatCode="[$-C0A]dddd\,\ dd&quot; de &quot;mmmm&quot; de &quot;yyyy"/>
    <numFmt numFmtId="174" formatCode="_-* #,##0.0\ &quot;Q&quot;_-;\-* #,##0.0\ &quot;Q&quot;_-;_-* &quot;-&quot;??\ &quot;Q&quot;_-;_-@_-"/>
    <numFmt numFmtId="175" formatCode="_-* #,##0\ &quot;Q&quot;_-;\-* #,##0\ &quot;Q&quot;_-;_-* &quot;-&quot;??\ &quot;Q&quot;_-;_-@_-"/>
    <numFmt numFmtId="176" formatCode="0.0%"/>
    <numFmt numFmtId="177" formatCode="_-* #,##0.000\ &quot;Q&quot;_-;\-* #,##0.000\ &quot;Q&quot;_-;_-* &quot;-&quot;??\ &quot;Q&quot;_-;_-@_-"/>
    <numFmt numFmtId="178" formatCode="_-* #,##0.0000\ &quot;Q&quot;_-;\-* #,##0.0000\ &quot;Q&quot;_-;_-* &quot;-&quot;??\ &quot;Q&quot;_-;_-@_-"/>
    <numFmt numFmtId="179" formatCode="_-* #,##0.00000\ &quot;Q&quot;_-;\-* #,##0.00000\ &quot;Q&quot;_-;_-* &quot;-&quot;??\ &quot;Q&quot;_-;_-@_-"/>
    <numFmt numFmtId="180" formatCode="_-* #,##0.000000\ &quot;Q&quot;_-;\-* #,##0.000000\ &quot;Q&quot;_-;_-* &quot;-&quot;??\ &quot;Q&quot;_-;_-@_-"/>
    <numFmt numFmtId="181" formatCode="[$-100A]dddd\,\ dd&quot; de &quot;mmmm&quot; de &quot;yyyy"/>
    <numFmt numFmtId="182" formatCode="[$-100A]hh:mm:ss\ AM/PM"/>
    <numFmt numFmtId="183" formatCode="#,##0.0"/>
    <numFmt numFmtId="184" formatCode="#,##0.000"/>
    <numFmt numFmtId="185" formatCode="#,##0.0000"/>
    <numFmt numFmtId="186" formatCode="#,##0.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3"/>
      <name val="Calibri"/>
      <family val="2"/>
    </font>
    <font>
      <b/>
      <u val="single"/>
      <sz val="11"/>
      <color indexed="13"/>
      <name val="Calibri"/>
      <family val="2"/>
    </font>
    <font>
      <b/>
      <u val="single"/>
      <sz val="11"/>
      <color indexed="17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u val="single"/>
      <sz val="11"/>
      <color indexed="9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u val="single"/>
      <sz val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/>
    </xf>
    <xf numFmtId="168" fontId="6" fillId="32" borderId="0" xfId="0" applyNumberFormat="1" applyFont="1" applyFill="1" applyAlignment="1">
      <alignment/>
    </xf>
    <xf numFmtId="0" fontId="3" fillId="0" borderId="0" xfId="0" applyFont="1" applyAlignment="1">
      <alignment/>
    </xf>
    <xf numFmtId="10" fontId="0" fillId="0" borderId="0" xfId="0" applyNumberFormat="1" applyAlignment="1">
      <alignment/>
    </xf>
    <xf numFmtId="175" fontId="0" fillId="0" borderId="0" xfId="0" applyNumberFormat="1" applyAlignment="1">
      <alignment/>
    </xf>
    <xf numFmtId="9" fontId="0" fillId="0" borderId="0" xfId="0" applyNumberFormat="1" applyAlignment="1">
      <alignment/>
    </xf>
    <xf numFmtId="175" fontId="0" fillId="0" borderId="10" xfId="0" applyNumberFormat="1" applyBorder="1" applyAlignment="1">
      <alignment/>
    </xf>
    <xf numFmtId="175" fontId="0" fillId="0" borderId="11" xfId="0" applyNumberFormat="1" applyBorder="1" applyAlignment="1">
      <alignment/>
    </xf>
    <xf numFmtId="0" fontId="7" fillId="0" borderId="0" xfId="0" applyFont="1" applyFill="1" applyAlignment="1">
      <alignment/>
    </xf>
    <xf numFmtId="175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5" fontId="8" fillId="0" borderId="0" xfId="0" applyNumberFormat="1" applyFont="1" applyAlignment="1">
      <alignment/>
    </xf>
    <xf numFmtId="175" fontId="8" fillId="0" borderId="0" xfId="0" applyNumberFormat="1" applyFont="1" applyFill="1" applyAlignment="1">
      <alignment/>
    </xf>
    <xf numFmtId="0" fontId="36" fillId="0" borderId="0" xfId="45" applyAlignment="1" applyProtection="1">
      <alignment/>
      <protection/>
    </xf>
    <xf numFmtId="0" fontId="2" fillId="32" borderId="0" xfId="0" applyFont="1" applyFill="1" applyAlignment="1">
      <alignment/>
    </xf>
    <xf numFmtId="175" fontId="2" fillId="32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10" fillId="32" borderId="0" xfId="0" applyFont="1" applyFill="1" applyAlignment="1">
      <alignment/>
    </xf>
    <xf numFmtId="175" fontId="10" fillId="32" borderId="0" xfId="0" applyNumberFormat="1" applyFont="1" applyFill="1" applyAlignment="1">
      <alignment/>
    </xf>
    <xf numFmtId="175" fontId="4" fillId="0" borderId="0" xfId="0" applyNumberFormat="1" applyFont="1" applyAlignment="1">
      <alignment/>
    </xf>
    <xf numFmtId="9" fontId="2" fillId="32" borderId="0" xfId="0" applyNumberFormat="1" applyFont="1" applyFill="1" applyAlignment="1">
      <alignment/>
    </xf>
    <xf numFmtId="168" fontId="2" fillId="32" borderId="0" xfId="0" applyNumberFormat="1" applyFont="1" applyFill="1" applyAlignment="1">
      <alignment/>
    </xf>
    <xf numFmtId="168" fontId="4" fillId="0" borderId="0" xfId="0" applyNumberFormat="1" applyFont="1" applyAlignment="1">
      <alignment/>
    </xf>
    <xf numFmtId="170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13" fillId="33" borderId="0" xfId="0" applyFont="1" applyFill="1" applyAlignment="1">
      <alignment/>
    </xf>
    <xf numFmtId="168" fontId="13" fillId="33" borderId="0" xfId="0" applyNumberFormat="1" applyFont="1" applyFill="1" applyAlignment="1">
      <alignment/>
    </xf>
    <xf numFmtId="168" fontId="8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175" fontId="8" fillId="33" borderId="0" xfId="0" applyNumberFormat="1" applyFont="1" applyFill="1" applyAlignment="1">
      <alignment/>
    </xf>
    <xf numFmtId="170" fontId="8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8" fillId="33" borderId="0" xfId="0" applyFont="1" applyFill="1" applyAlignment="1">
      <alignment/>
    </xf>
    <xf numFmtId="180" fontId="11" fillId="33" borderId="0" xfId="0" applyNumberFormat="1" applyFont="1" applyFill="1" applyAlignment="1">
      <alignment/>
    </xf>
    <xf numFmtId="4" fontId="0" fillId="0" borderId="0" xfId="0" applyNumberFormat="1" applyAlignment="1">
      <alignment/>
    </xf>
    <xf numFmtId="3" fontId="8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11" fillId="33" borderId="0" xfId="0" applyNumberFormat="1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12" xfId="0" applyFont="1" applyFill="1" applyBorder="1" applyAlignment="1">
      <alignment horizontal="right"/>
    </xf>
    <xf numFmtId="3" fontId="0" fillId="0" borderId="13" xfId="0" applyNumberFormat="1" applyBorder="1" applyAlignment="1">
      <alignment/>
    </xf>
    <xf numFmtId="186" fontId="0" fillId="0" borderId="14" xfId="0" applyNumberFormat="1" applyBorder="1" applyAlignment="1">
      <alignment/>
    </xf>
    <xf numFmtId="0" fontId="8" fillId="34" borderId="0" xfId="0" applyFont="1" applyFill="1" applyAlignment="1">
      <alignment horizontal="right"/>
    </xf>
    <xf numFmtId="0" fontId="8" fillId="34" borderId="0" xfId="0" applyFont="1" applyFill="1" applyAlignment="1">
      <alignment/>
    </xf>
    <xf numFmtId="0" fontId="11" fillId="33" borderId="12" xfId="0" applyFont="1" applyFill="1" applyBorder="1" applyAlignment="1">
      <alignment/>
    </xf>
    <xf numFmtId="175" fontId="11" fillId="33" borderId="13" xfId="0" applyNumberFormat="1" applyFont="1" applyFill="1" applyBorder="1" applyAlignment="1">
      <alignment/>
    </xf>
    <xf numFmtId="175" fontId="11" fillId="33" borderId="14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4" fontId="46" fillId="0" borderId="0" xfId="0" applyNumberFormat="1" applyFont="1" applyAlignment="1">
      <alignment/>
    </xf>
    <xf numFmtId="4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11" fillId="35" borderId="12" xfId="0" applyFont="1" applyFill="1" applyBorder="1" applyAlignment="1">
      <alignment horizontal="center"/>
    </xf>
    <xf numFmtId="0" fontId="11" fillId="35" borderId="13" xfId="0" applyFont="1" applyFill="1" applyBorder="1" applyAlignment="1">
      <alignment horizontal="center"/>
    </xf>
    <xf numFmtId="0" fontId="11" fillId="35" borderId="1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2"/>
  <sheetViews>
    <sheetView showGridLines="0" tabSelected="1" zoomScalePageLayoutView="0" workbookViewId="0" topLeftCell="A1">
      <selection activeCell="M13" sqref="M13"/>
    </sheetView>
  </sheetViews>
  <sheetFormatPr defaultColWidth="11.421875" defaultRowHeight="15"/>
  <cols>
    <col min="1" max="1" width="3.00390625" style="0" customWidth="1"/>
    <col min="2" max="2" width="11.8515625" style="0" bestFit="1" customWidth="1"/>
    <col min="8" max="8" width="13.57421875" style="1" customWidth="1"/>
  </cols>
  <sheetData>
    <row r="1" spans="1:9" ht="15">
      <c r="A1" t="s">
        <v>151</v>
      </c>
      <c r="I1" s="18"/>
    </row>
    <row r="2" ht="15">
      <c r="A2" t="s">
        <v>152</v>
      </c>
    </row>
    <row r="3" ht="15">
      <c r="A3" t="s">
        <v>0</v>
      </c>
    </row>
    <row r="4" s="15" customFormat="1" ht="15.75" thickBot="1">
      <c r="H4" s="28"/>
    </row>
    <row r="5" spans="1:9" s="15" customFormat="1" ht="15.75" thickBot="1">
      <c r="A5" s="61" t="s">
        <v>156</v>
      </c>
      <c r="B5" s="62"/>
      <c r="C5" s="62"/>
      <c r="D5" s="62"/>
      <c r="E5" s="62"/>
      <c r="F5" s="62"/>
      <c r="G5" s="62"/>
      <c r="H5" s="62"/>
      <c r="I5" s="63"/>
    </row>
    <row r="7" ht="15">
      <c r="B7" t="s">
        <v>154</v>
      </c>
    </row>
    <row r="8" ht="15">
      <c r="B8" t="s">
        <v>103</v>
      </c>
    </row>
    <row r="9" ht="15">
      <c r="B9" t="s">
        <v>104</v>
      </c>
    </row>
    <row r="11" spans="2:8" ht="15">
      <c r="B11" t="s">
        <v>105</v>
      </c>
      <c r="H11" s="1">
        <v>60000</v>
      </c>
    </row>
    <row r="12" spans="2:8" ht="15">
      <c r="B12" t="s">
        <v>107</v>
      </c>
      <c r="H12" s="1">
        <v>500000</v>
      </c>
    </row>
    <row r="13" spans="2:8" ht="15">
      <c r="B13" t="s">
        <v>108</v>
      </c>
      <c r="H13" s="1">
        <v>350000</v>
      </c>
    </row>
    <row r="14" spans="2:8" ht="15">
      <c r="B14" t="s">
        <v>32</v>
      </c>
      <c r="H14" s="1">
        <v>800000</v>
      </c>
    </row>
    <row r="15" spans="2:8" ht="15">
      <c r="B15" t="s">
        <v>109</v>
      </c>
      <c r="H15" s="1">
        <v>400000</v>
      </c>
    </row>
    <row r="16" spans="2:8" ht="15">
      <c r="B16" t="s">
        <v>110</v>
      </c>
      <c r="H16" s="1">
        <v>200000</v>
      </c>
    </row>
    <row r="17" spans="2:8" ht="15">
      <c r="B17" t="s">
        <v>80</v>
      </c>
      <c r="H17" s="1">
        <v>100000</v>
      </c>
    </row>
    <row r="18" spans="2:8" ht="15">
      <c r="B18" t="s">
        <v>111</v>
      </c>
      <c r="H18" s="1">
        <v>200000</v>
      </c>
    </row>
    <row r="19" spans="2:8" ht="15">
      <c r="B19" t="s">
        <v>112</v>
      </c>
      <c r="H19" s="1">
        <v>100000</v>
      </c>
    </row>
    <row r="20" spans="2:8" ht="15">
      <c r="B20" t="s">
        <v>113</v>
      </c>
      <c r="H20" s="1">
        <v>450000</v>
      </c>
    </row>
    <row r="21" spans="2:8" ht="15">
      <c r="B21" t="s">
        <v>153</v>
      </c>
      <c r="H21" s="1" t="s">
        <v>106</v>
      </c>
    </row>
    <row r="22" spans="2:8" ht="15">
      <c r="B22" t="s">
        <v>114</v>
      </c>
      <c r="H22" s="1">
        <v>60000</v>
      </c>
    </row>
    <row r="24" ht="15">
      <c r="B24" t="s">
        <v>115</v>
      </c>
    </row>
    <row r="25" ht="15">
      <c r="B25" t="s">
        <v>116</v>
      </c>
    </row>
    <row r="26" ht="15">
      <c r="B26" t="s">
        <v>117</v>
      </c>
    </row>
    <row r="28" ht="15">
      <c r="B28" s="7" t="s">
        <v>118</v>
      </c>
    </row>
    <row r="29" spans="1:2" ht="15">
      <c r="A29" s="3" t="s">
        <v>1</v>
      </c>
      <c r="B29" t="s">
        <v>119</v>
      </c>
    </row>
    <row r="30" spans="1:2" ht="15">
      <c r="A30" s="3"/>
      <c r="B30" t="s">
        <v>120</v>
      </c>
    </row>
    <row r="31" spans="1:2" ht="15">
      <c r="A31" s="3" t="s">
        <v>1</v>
      </c>
      <c r="B31" t="s">
        <v>121</v>
      </c>
    </row>
    <row r="32" spans="1:2" ht="15">
      <c r="A32" s="3" t="s">
        <v>1</v>
      </c>
      <c r="B32" t="s">
        <v>122</v>
      </c>
    </row>
    <row r="33" spans="1:2" ht="15">
      <c r="A33" s="3"/>
      <c r="B33" t="s">
        <v>123</v>
      </c>
    </row>
    <row r="34" spans="1:2" ht="15">
      <c r="A34" s="3" t="s">
        <v>1</v>
      </c>
      <c r="B34" t="s">
        <v>124</v>
      </c>
    </row>
    <row r="35" spans="1:2" ht="15">
      <c r="A35" s="3" t="s">
        <v>1</v>
      </c>
      <c r="B35" t="s">
        <v>125</v>
      </c>
    </row>
    <row r="36" spans="1:2" ht="15">
      <c r="A36" s="3"/>
      <c r="B36" t="s">
        <v>126</v>
      </c>
    </row>
    <row r="37" spans="1:2" ht="15">
      <c r="A37" s="3" t="s">
        <v>1</v>
      </c>
      <c r="B37" t="s">
        <v>127</v>
      </c>
    </row>
    <row r="38" spans="1:2" ht="15">
      <c r="A38" s="3"/>
      <c r="B38" t="s">
        <v>128</v>
      </c>
    </row>
    <row r="39" spans="1:2" ht="15">
      <c r="A39" s="3" t="s">
        <v>1</v>
      </c>
      <c r="B39" t="s">
        <v>129</v>
      </c>
    </row>
    <row r="40" spans="1:2" ht="15">
      <c r="A40" s="3"/>
      <c r="B40" t="s">
        <v>130</v>
      </c>
    </row>
    <row r="41" ht="15">
      <c r="A41" s="3"/>
    </row>
    <row r="42" spans="1:2" ht="15">
      <c r="A42" s="3"/>
      <c r="B42" s="7" t="s">
        <v>131</v>
      </c>
    </row>
    <row r="43" spans="1:2" ht="15">
      <c r="A43" s="3" t="s">
        <v>1</v>
      </c>
      <c r="B43" t="s">
        <v>132</v>
      </c>
    </row>
    <row r="44" spans="1:2" ht="15">
      <c r="A44" s="3"/>
      <c r="B44" t="s">
        <v>133</v>
      </c>
    </row>
    <row r="45" spans="1:2" ht="15">
      <c r="A45" s="3" t="s">
        <v>1</v>
      </c>
      <c r="B45" t="s">
        <v>134</v>
      </c>
    </row>
    <row r="46" ht="15">
      <c r="A46" s="3"/>
    </row>
    <row r="47" spans="1:2" ht="15">
      <c r="A47" s="3"/>
      <c r="B47" s="7" t="s">
        <v>135</v>
      </c>
    </row>
    <row r="48" spans="1:2" ht="15">
      <c r="A48" s="3" t="s">
        <v>1</v>
      </c>
      <c r="B48" t="s">
        <v>136</v>
      </c>
    </row>
    <row r="49" spans="1:2" ht="15">
      <c r="A49" s="3"/>
      <c r="B49" t="s">
        <v>137</v>
      </c>
    </row>
    <row r="50" spans="1:2" ht="15">
      <c r="A50" s="3" t="s">
        <v>1</v>
      </c>
      <c r="B50" t="s">
        <v>138</v>
      </c>
    </row>
    <row r="51" ht="15">
      <c r="B51" t="s">
        <v>139</v>
      </c>
    </row>
    <row r="52" spans="1:2" ht="15">
      <c r="A52" s="3" t="s">
        <v>1</v>
      </c>
      <c r="B52" t="s">
        <v>140</v>
      </c>
    </row>
    <row r="53" spans="1:2" ht="15">
      <c r="A53" s="3" t="s">
        <v>1</v>
      </c>
      <c r="B53" t="s">
        <v>141</v>
      </c>
    </row>
    <row r="54" spans="1:2" ht="15">
      <c r="A54" s="3"/>
      <c r="B54" t="s">
        <v>142</v>
      </c>
    </row>
    <row r="56" ht="15">
      <c r="B56" s="7" t="s">
        <v>143</v>
      </c>
    </row>
    <row r="57" spans="1:2" ht="15">
      <c r="A57" s="3" t="s">
        <v>1</v>
      </c>
      <c r="B57" t="s">
        <v>144</v>
      </c>
    </row>
    <row r="58" spans="1:2" ht="15">
      <c r="A58" s="3" t="s">
        <v>1</v>
      </c>
      <c r="B58" t="s">
        <v>145</v>
      </c>
    </row>
    <row r="59" ht="15">
      <c r="B59" t="s">
        <v>146</v>
      </c>
    </row>
    <row r="61" ht="15">
      <c r="B61" s="7" t="s">
        <v>147</v>
      </c>
    </row>
    <row r="62" spans="1:2" ht="15">
      <c r="A62" s="3" t="s">
        <v>1</v>
      </c>
      <c r="B62" t="s">
        <v>155</v>
      </c>
    </row>
  </sheetData>
  <sheetProtection/>
  <mergeCells count="1">
    <mergeCell ref="A5:I5"/>
  </mergeCells>
  <printOptions/>
  <pageMargins left="0.7874015748031497" right="0.11811023622047245" top="0.3937007874015748" bottom="0.3937007874015748" header="0" footer="0"/>
  <pageSetup horizontalDpi="300" verticalDpi="3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51"/>
  <sheetViews>
    <sheetView showGridLines="0" zoomScalePageLayoutView="0" workbookViewId="0" topLeftCell="A2">
      <selection activeCell="N25" sqref="N25"/>
    </sheetView>
  </sheetViews>
  <sheetFormatPr defaultColWidth="11.421875" defaultRowHeight="15"/>
  <cols>
    <col min="1" max="1" width="39.00390625" style="0" customWidth="1"/>
    <col min="2" max="2" width="14.7109375" style="0" bestFit="1" customWidth="1"/>
    <col min="3" max="3" width="17.57421875" style="0" bestFit="1" customWidth="1"/>
    <col min="4" max="4" width="13.421875" style="0" bestFit="1" customWidth="1"/>
    <col min="5" max="5" width="13.421875" style="0" customWidth="1"/>
    <col min="6" max="6" width="17.140625" style="0" bestFit="1" customWidth="1"/>
    <col min="7" max="8" width="13.421875" style="0" bestFit="1" customWidth="1"/>
    <col min="9" max="10" width="0" style="0" hidden="1" customWidth="1"/>
  </cols>
  <sheetData>
    <row r="1" ht="15" hidden="1">
      <c r="I1" s="18"/>
    </row>
    <row r="2" spans="1:8" ht="15">
      <c r="A2" s="59" t="s">
        <v>60</v>
      </c>
      <c r="B2" s="59"/>
      <c r="C2" s="59"/>
      <c r="D2" s="59"/>
      <c r="E2" s="59"/>
      <c r="F2" s="59"/>
      <c r="G2" s="59"/>
      <c r="H2" s="59"/>
    </row>
    <row r="3" spans="1:8" ht="15">
      <c r="A3" s="60" t="s">
        <v>19</v>
      </c>
      <c r="B3" s="60"/>
      <c r="C3" s="60"/>
      <c r="D3" s="60"/>
      <c r="E3" s="60"/>
      <c r="F3" s="60"/>
      <c r="G3" s="60"/>
      <c r="H3" s="60"/>
    </row>
    <row r="4" spans="1:8" ht="15">
      <c r="A4" s="59" t="s">
        <v>20</v>
      </c>
      <c r="B4" s="59"/>
      <c r="C4" s="59"/>
      <c r="D4" s="59"/>
      <c r="E4" s="59"/>
      <c r="F4" s="59"/>
      <c r="G4" s="59"/>
      <c r="H4" s="59"/>
    </row>
    <row r="5" ht="15" hidden="1"/>
    <row r="6" ht="15" hidden="1"/>
    <row r="7" ht="15">
      <c r="F7" t="s">
        <v>4</v>
      </c>
    </row>
    <row r="8" spans="1:8" ht="15">
      <c r="A8" t="s">
        <v>2</v>
      </c>
      <c r="B8" t="s">
        <v>61</v>
      </c>
      <c r="C8" t="s">
        <v>62</v>
      </c>
      <c r="D8" t="s">
        <v>63</v>
      </c>
      <c r="E8" t="s">
        <v>64</v>
      </c>
      <c r="F8" t="s">
        <v>3</v>
      </c>
      <c r="G8" t="s">
        <v>5</v>
      </c>
      <c r="H8" t="s">
        <v>6</v>
      </c>
    </row>
    <row r="10" spans="1:8" ht="15">
      <c r="A10" s="5" t="s">
        <v>7</v>
      </c>
      <c r="B10" s="6">
        <f>SUM(B11:B13)</f>
        <v>40000</v>
      </c>
      <c r="C10" s="6">
        <f aca="true" t="shared" si="0" ref="C10:H10">SUM(C11:C13)</f>
        <v>40000</v>
      </c>
      <c r="D10" s="6">
        <f t="shared" si="0"/>
        <v>40000</v>
      </c>
      <c r="E10" s="6">
        <f t="shared" si="0"/>
        <v>65000</v>
      </c>
      <c r="F10" s="6">
        <f t="shared" si="0"/>
        <v>0</v>
      </c>
      <c r="G10" s="6">
        <f t="shared" si="0"/>
        <v>95000</v>
      </c>
      <c r="H10" s="6">
        <f t="shared" si="0"/>
        <v>280000</v>
      </c>
    </row>
    <row r="11" spans="1:8" ht="15">
      <c r="A11" t="s">
        <v>8</v>
      </c>
      <c r="B11" s="2"/>
      <c r="C11" s="2"/>
      <c r="D11" s="2"/>
      <c r="E11" s="2">
        <f>500*20*2</f>
        <v>20000</v>
      </c>
      <c r="F11" s="2">
        <v>0</v>
      </c>
      <c r="G11" s="2">
        <f>-(+B11+C11+D11+E11+F11)</f>
        <v>-20000</v>
      </c>
      <c r="H11" s="2">
        <f>SUM(B11:G11)</f>
        <v>0</v>
      </c>
    </row>
    <row r="12" spans="1:14" ht="15">
      <c r="A12" t="s">
        <v>65</v>
      </c>
      <c r="B12" s="2">
        <f>150*100</f>
        <v>15000</v>
      </c>
      <c r="C12" s="2">
        <f>150*100</f>
        <v>15000</v>
      </c>
      <c r="D12" s="2">
        <f>150*100</f>
        <v>15000</v>
      </c>
      <c r="E12" s="2">
        <f>100*100*2</f>
        <v>20000</v>
      </c>
      <c r="F12" s="2"/>
      <c r="G12" s="2">
        <f>180000-SUM(B12:F12)</f>
        <v>115000</v>
      </c>
      <c r="H12" s="2">
        <f aca="true" t="shared" si="1" ref="H12:H29">SUM(B12:G12)</f>
        <v>180000</v>
      </c>
      <c r="L12" s="2"/>
      <c r="N12" s="2"/>
    </row>
    <row r="13" spans="1:8" ht="15">
      <c r="A13" t="s">
        <v>157</v>
      </c>
      <c r="B13" s="2">
        <f>100000/4</f>
        <v>25000</v>
      </c>
      <c r="C13" s="2">
        <f>100000/4</f>
        <v>25000</v>
      </c>
      <c r="D13" s="2">
        <f>100000/4</f>
        <v>25000</v>
      </c>
      <c r="E13" s="2">
        <f>100000/4</f>
        <v>25000</v>
      </c>
      <c r="F13" s="2"/>
      <c r="G13" s="2"/>
      <c r="H13" s="2">
        <f t="shared" si="1"/>
        <v>100000</v>
      </c>
    </row>
    <row r="14" spans="1:8" ht="15">
      <c r="A14" s="4" t="s">
        <v>9</v>
      </c>
      <c r="B14" s="6">
        <f>SUM(B15:B18)</f>
        <v>332400</v>
      </c>
      <c r="C14" s="6">
        <f aca="true" t="shared" si="2" ref="C14:H14">SUM(C15:C18)</f>
        <v>332400</v>
      </c>
      <c r="D14" s="6">
        <f t="shared" si="2"/>
        <v>332400</v>
      </c>
      <c r="E14" s="6">
        <f t="shared" si="2"/>
        <v>332400</v>
      </c>
      <c r="F14" s="6">
        <f t="shared" si="2"/>
        <v>0</v>
      </c>
      <c r="G14" s="6">
        <f t="shared" si="2"/>
        <v>0</v>
      </c>
      <c r="H14" s="6">
        <f t="shared" si="2"/>
        <v>1329600</v>
      </c>
    </row>
    <row r="15" spans="1:8" ht="15">
      <c r="A15" t="s">
        <v>10</v>
      </c>
      <c r="B15" s="2">
        <f>1800*10*12</f>
        <v>216000</v>
      </c>
      <c r="C15" s="2">
        <f>1800*10*12</f>
        <v>216000</v>
      </c>
      <c r="D15" s="2">
        <f>1800*10*12</f>
        <v>216000</v>
      </c>
      <c r="E15" s="2">
        <f>1800*10*12</f>
        <v>216000</v>
      </c>
      <c r="F15" s="2"/>
      <c r="G15" s="2"/>
      <c r="H15" s="2">
        <f t="shared" si="1"/>
        <v>864000</v>
      </c>
    </row>
    <row r="16" spans="1:8" ht="15">
      <c r="A16" t="s">
        <v>11</v>
      </c>
      <c r="B16" s="2">
        <f>250*10*12</f>
        <v>30000</v>
      </c>
      <c r="C16" s="2">
        <f>250*10*12</f>
        <v>30000</v>
      </c>
      <c r="D16" s="2">
        <f>250*10*12</f>
        <v>30000</v>
      </c>
      <c r="E16" s="2">
        <f>250*10*12</f>
        <v>30000</v>
      </c>
      <c r="F16" s="2"/>
      <c r="G16" s="2"/>
      <c r="H16" s="2">
        <f t="shared" si="1"/>
        <v>120000</v>
      </c>
    </row>
    <row r="17" spans="1:8" ht="15">
      <c r="A17" t="s">
        <v>12</v>
      </c>
      <c r="B17" s="2">
        <f>B15*30%</f>
        <v>64800</v>
      </c>
      <c r="C17" s="2">
        <f>C15*30%</f>
        <v>64800</v>
      </c>
      <c r="D17" s="2">
        <f>D15*30%</f>
        <v>64800</v>
      </c>
      <c r="E17" s="2">
        <f>E15*30%</f>
        <v>64800</v>
      </c>
      <c r="F17" s="2"/>
      <c r="G17" s="2"/>
      <c r="H17" s="2">
        <f t="shared" si="1"/>
        <v>259200</v>
      </c>
    </row>
    <row r="18" spans="1:11" ht="15">
      <c r="A18" t="s">
        <v>13</v>
      </c>
      <c r="B18" s="2">
        <f>B15*10%</f>
        <v>21600</v>
      </c>
      <c r="C18" s="2">
        <f>C15*10%</f>
        <v>21600</v>
      </c>
      <c r="D18" s="2">
        <f>D15*10%</f>
        <v>21600</v>
      </c>
      <c r="E18" s="2">
        <f>E15*10%</f>
        <v>21600</v>
      </c>
      <c r="F18" s="2"/>
      <c r="G18" s="2"/>
      <c r="H18" s="2">
        <f t="shared" si="1"/>
        <v>86400</v>
      </c>
      <c r="K18" s="42"/>
    </row>
    <row r="19" spans="1:11" ht="15">
      <c r="A19" s="4" t="s">
        <v>14</v>
      </c>
      <c r="B19" s="6">
        <f aca="true" t="shared" si="3" ref="B19:H19">SUM(B20:B30)</f>
        <v>286900</v>
      </c>
      <c r="C19" s="6">
        <f t="shared" si="3"/>
        <v>264400</v>
      </c>
      <c r="D19" s="6">
        <f t="shared" si="3"/>
        <v>206900</v>
      </c>
      <c r="E19" s="6">
        <f t="shared" si="3"/>
        <v>133900</v>
      </c>
      <c r="F19" s="6">
        <f t="shared" si="3"/>
        <v>69900</v>
      </c>
      <c r="G19" s="6">
        <f t="shared" si="3"/>
        <v>0</v>
      </c>
      <c r="H19" s="6">
        <f t="shared" si="3"/>
        <v>712000</v>
      </c>
      <c r="K19" s="42">
        <f>1800+250</f>
        <v>2050</v>
      </c>
    </row>
    <row r="20" spans="1:11" ht="15">
      <c r="A20" t="s">
        <v>15</v>
      </c>
      <c r="B20" s="2">
        <f>(60000*80%)/4</f>
        <v>12000</v>
      </c>
      <c r="C20" s="2">
        <f>(60000*80%)/4</f>
        <v>12000</v>
      </c>
      <c r="D20" s="2">
        <f>(60000*80%)/4</f>
        <v>12000</v>
      </c>
      <c r="E20" s="2">
        <f>(60000*80%)/4</f>
        <v>12000</v>
      </c>
      <c r="F20" s="2">
        <f>60000*20%</f>
        <v>12000</v>
      </c>
      <c r="G20" s="2"/>
      <c r="H20" s="2">
        <f t="shared" si="1"/>
        <v>60000</v>
      </c>
      <c r="K20" s="42">
        <f>+K19*12*30</f>
        <v>738000</v>
      </c>
    </row>
    <row r="21" spans="1:11" ht="15">
      <c r="A21" t="s">
        <v>11</v>
      </c>
      <c r="B21" s="2">
        <f>(3000*80%)/4</f>
        <v>600</v>
      </c>
      <c r="C21" s="2">
        <f>(3000*80%)/4</f>
        <v>600</v>
      </c>
      <c r="D21" s="2">
        <f>(3000*80%)/4</f>
        <v>600</v>
      </c>
      <c r="E21" s="2">
        <f>(3000*80%)/4</f>
        <v>600</v>
      </c>
      <c r="F21" s="2">
        <f>3000*20%</f>
        <v>600</v>
      </c>
      <c r="G21" s="2"/>
      <c r="H21" s="2">
        <f t="shared" si="1"/>
        <v>3000</v>
      </c>
      <c r="K21" s="42">
        <f>+K20/3</f>
        <v>246000</v>
      </c>
    </row>
    <row r="22" spans="1:11" ht="15">
      <c r="A22" t="s">
        <v>12</v>
      </c>
      <c r="B22" s="2">
        <f>B20*30%</f>
        <v>3600</v>
      </c>
      <c r="C22" s="2">
        <f>C20*30%</f>
        <v>3600</v>
      </c>
      <c r="D22" s="2">
        <f>D20*30%</f>
        <v>3600</v>
      </c>
      <c r="E22" s="2">
        <f>E20*30%</f>
        <v>3600</v>
      </c>
      <c r="F22" s="2">
        <f>F20*30%</f>
        <v>3600</v>
      </c>
      <c r="G22" s="2"/>
      <c r="H22" s="2">
        <f t="shared" si="1"/>
        <v>18000</v>
      </c>
      <c r="K22" s="42"/>
    </row>
    <row r="23" spans="1:11" ht="15">
      <c r="A23" t="s">
        <v>13</v>
      </c>
      <c r="B23" s="2">
        <f>B20*10%</f>
        <v>1200</v>
      </c>
      <c r="C23" s="2">
        <f>C20*10%</f>
        <v>1200</v>
      </c>
      <c r="D23" s="2">
        <f>D20*10%</f>
        <v>1200</v>
      </c>
      <c r="E23" s="2">
        <f>E20*10%</f>
        <v>1200</v>
      </c>
      <c r="F23" s="2">
        <f>F20*10%</f>
        <v>1200</v>
      </c>
      <c r="G23" s="2"/>
      <c r="H23" s="2">
        <f t="shared" si="1"/>
        <v>6000</v>
      </c>
      <c r="K23" s="42"/>
    </row>
    <row r="24" spans="1:11" ht="15">
      <c r="A24" t="s">
        <v>66</v>
      </c>
      <c r="B24" s="2">
        <f>50000/5</f>
        <v>10000</v>
      </c>
      <c r="C24" s="2">
        <f aca="true" t="shared" si="4" ref="C24:F25">50000/5</f>
        <v>10000</v>
      </c>
      <c r="D24" s="2">
        <f t="shared" si="4"/>
        <v>10000</v>
      </c>
      <c r="E24" s="2">
        <f t="shared" si="4"/>
        <v>10000</v>
      </c>
      <c r="F24" s="2">
        <f t="shared" si="4"/>
        <v>10000</v>
      </c>
      <c r="G24" s="2"/>
      <c r="H24" s="2">
        <f t="shared" si="1"/>
        <v>50000</v>
      </c>
      <c r="K24" s="42"/>
    </row>
    <row r="25" spans="1:8" ht="15">
      <c r="A25" t="s">
        <v>67</v>
      </c>
      <c r="B25" s="2">
        <f>50000/5</f>
        <v>10000</v>
      </c>
      <c r="C25" s="2">
        <f t="shared" si="4"/>
        <v>10000</v>
      </c>
      <c r="D25" s="2">
        <f t="shared" si="4"/>
        <v>10000</v>
      </c>
      <c r="E25" s="2">
        <f t="shared" si="4"/>
        <v>10000</v>
      </c>
      <c r="F25" s="2">
        <f t="shared" si="4"/>
        <v>10000</v>
      </c>
      <c r="G25" s="2"/>
      <c r="H25" s="2">
        <f t="shared" si="1"/>
        <v>50000</v>
      </c>
    </row>
    <row r="26" spans="1:8" ht="15">
      <c r="A26" t="s">
        <v>68</v>
      </c>
      <c r="B26" s="2">
        <f>100000/4</f>
        <v>25000</v>
      </c>
      <c r="C26" s="2">
        <f>100000/4</f>
        <v>25000</v>
      </c>
      <c r="D26" s="2">
        <f>100000/4</f>
        <v>25000</v>
      </c>
      <c r="E26" s="2">
        <f>100000/4</f>
        <v>25000</v>
      </c>
      <c r="F26" s="2">
        <v>25000</v>
      </c>
      <c r="G26" s="2"/>
      <c r="H26" s="2">
        <f t="shared" si="1"/>
        <v>125000</v>
      </c>
    </row>
    <row r="27" spans="1:8" ht="15">
      <c r="A27" t="s">
        <v>69</v>
      </c>
      <c r="B27" s="2">
        <f>200000*B41/$H$34</f>
        <v>62500</v>
      </c>
      <c r="C27" s="2">
        <f>200000*C41/$H$34</f>
        <v>62500</v>
      </c>
      <c r="D27" s="2">
        <f>200000*D41/$H$34</f>
        <v>62500</v>
      </c>
      <c r="E27" s="2">
        <f>200000*E41/$H$34</f>
        <v>12500</v>
      </c>
      <c r="F27" s="2"/>
      <c r="G27" s="2"/>
      <c r="H27" s="2">
        <f t="shared" si="1"/>
        <v>200000</v>
      </c>
    </row>
    <row r="28" spans="1:8" ht="15">
      <c r="A28" t="s">
        <v>74</v>
      </c>
      <c r="B28" s="2">
        <f>100000*30%</f>
        <v>30000</v>
      </c>
      <c r="C28" s="2">
        <f>100000*30%</f>
        <v>30000</v>
      </c>
      <c r="D28" s="2">
        <f>100000*30%</f>
        <v>30000</v>
      </c>
      <c r="E28" s="2">
        <f>100000*10%</f>
        <v>10000</v>
      </c>
      <c r="F28" s="2"/>
      <c r="G28" s="2"/>
      <c r="H28" s="2">
        <f t="shared" si="1"/>
        <v>100000</v>
      </c>
    </row>
    <row r="29" spans="1:8" ht="15">
      <c r="A29" t="s">
        <v>16</v>
      </c>
      <c r="B29" s="2">
        <f>100000/4</f>
        <v>25000</v>
      </c>
      <c r="C29" s="2">
        <f>100000/4</f>
        <v>25000</v>
      </c>
      <c r="D29" s="2">
        <f>100000/4</f>
        <v>25000</v>
      </c>
      <c r="E29" s="2">
        <f>100000/4</f>
        <v>25000</v>
      </c>
      <c r="F29" s="2"/>
      <c r="G29" s="2"/>
      <c r="H29" s="2">
        <f t="shared" si="1"/>
        <v>100000</v>
      </c>
    </row>
    <row r="30" spans="1:11" ht="15">
      <c r="A30" t="s">
        <v>17</v>
      </c>
      <c r="B30" s="9">
        <f>'ANEXOS EL LIMON DULCE'!D19</f>
        <v>107000</v>
      </c>
      <c r="C30" s="9">
        <f>'ANEXOS EL LIMON DULCE'!E19</f>
        <v>84500</v>
      </c>
      <c r="D30" s="9">
        <f>'ANEXOS EL LIMON DULCE'!F19</f>
        <v>27000</v>
      </c>
      <c r="E30" s="9">
        <f>'ANEXOS EL LIMON DULCE'!G19</f>
        <v>24000</v>
      </c>
      <c r="F30" s="9">
        <f>'ANEXOS EL LIMON DULCE'!H19</f>
        <v>7500</v>
      </c>
      <c r="G30" s="1"/>
      <c r="H30" s="2"/>
      <c r="K30" s="42">
        <f>SUM(B30:F30)</f>
        <v>250000</v>
      </c>
    </row>
    <row r="31" spans="1:8" s="29" customFormat="1" ht="15">
      <c r="A31" s="33" t="s">
        <v>82</v>
      </c>
      <c r="B31" s="31">
        <f>+B32</f>
        <v>0</v>
      </c>
      <c r="C31" s="31">
        <f aca="true" t="shared" si="5" ref="C31:H31">+C32</f>
        <v>0</v>
      </c>
      <c r="D31" s="31">
        <f t="shared" si="5"/>
        <v>0</v>
      </c>
      <c r="E31" s="31">
        <f t="shared" si="5"/>
        <v>60000</v>
      </c>
      <c r="F31" s="31">
        <f t="shared" si="5"/>
        <v>0</v>
      </c>
      <c r="G31" s="31">
        <f t="shared" si="5"/>
        <v>0</v>
      </c>
      <c r="H31" s="31">
        <f t="shared" si="5"/>
        <v>0</v>
      </c>
    </row>
    <row r="32" spans="1:8" s="29" customFormat="1" ht="15.75" thickBot="1">
      <c r="A32" s="29" t="s">
        <v>148</v>
      </c>
      <c r="B32" s="34"/>
      <c r="C32" s="34"/>
      <c r="D32" s="34"/>
      <c r="E32" s="34">
        <v>60000</v>
      </c>
      <c r="F32" s="34"/>
      <c r="G32" s="35"/>
      <c r="H32" s="32"/>
    </row>
    <row r="33" spans="1:8" s="37" customFormat="1" ht="15.75" thickBot="1">
      <c r="A33" s="50" t="s">
        <v>18</v>
      </c>
      <c r="B33" s="51">
        <f>B10+B14+B19+B31</f>
        <v>659300</v>
      </c>
      <c r="C33" s="51">
        <f aca="true" t="shared" si="6" ref="C33:H33">C10+C14+C19+C31</f>
        <v>636800</v>
      </c>
      <c r="D33" s="51">
        <f t="shared" si="6"/>
        <v>579300</v>
      </c>
      <c r="E33" s="51">
        <f t="shared" si="6"/>
        <v>591300</v>
      </c>
      <c r="F33" s="51">
        <f t="shared" si="6"/>
        <v>69900</v>
      </c>
      <c r="G33" s="51">
        <f t="shared" si="6"/>
        <v>95000</v>
      </c>
      <c r="H33" s="52">
        <f t="shared" si="6"/>
        <v>2321600</v>
      </c>
    </row>
    <row r="34" spans="1:8" s="29" customFormat="1" ht="15">
      <c r="A34" s="36" t="s">
        <v>29</v>
      </c>
      <c r="B34" s="43">
        <f>B41</f>
        <v>40000</v>
      </c>
      <c r="C34" s="43">
        <f>C41</f>
        <v>40000</v>
      </c>
      <c r="D34" s="43">
        <f>D41</f>
        <v>40000</v>
      </c>
      <c r="E34" s="43">
        <f>E41</f>
        <v>8000</v>
      </c>
      <c r="F34" s="43"/>
      <c r="G34" s="43"/>
      <c r="H34" s="43">
        <f>SUM(B34:G34)</f>
        <v>128000</v>
      </c>
    </row>
    <row r="35" spans="1:8" s="29" customFormat="1" ht="15">
      <c r="A35" s="36" t="s">
        <v>149</v>
      </c>
      <c r="B35" s="43"/>
      <c r="C35" s="43">
        <v>60000</v>
      </c>
      <c r="D35" s="43"/>
      <c r="E35" s="43"/>
      <c r="F35" s="43"/>
      <c r="G35" s="43"/>
      <c r="H35" s="43"/>
    </row>
    <row r="36" spans="1:8" s="29" customFormat="1" ht="15">
      <c r="A36" s="36" t="s">
        <v>30</v>
      </c>
      <c r="B36" s="38">
        <f>B33/B34</f>
        <v>16.4825</v>
      </c>
      <c r="C36" s="38">
        <f>C33/C34</f>
        <v>15.92</v>
      </c>
      <c r="D36" s="38">
        <f>D33/D34</f>
        <v>14.4825</v>
      </c>
      <c r="E36" s="38">
        <f>E33/E34</f>
        <v>73.9125</v>
      </c>
      <c r="F36" s="36"/>
      <c r="G36" s="36"/>
      <c r="H36" s="36"/>
    </row>
    <row r="37" spans="1:8" s="29" customFormat="1" ht="15">
      <c r="A37" s="36" t="s">
        <v>150</v>
      </c>
      <c r="B37" s="38"/>
      <c r="C37" s="38">
        <f>(+C33+C35)/C34</f>
        <v>17.42</v>
      </c>
      <c r="D37" s="38"/>
      <c r="E37" s="38"/>
      <c r="F37" s="36"/>
      <c r="G37" s="36"/>
      <c r="H37" s="36"/>
    </row>
    <row r="38" s="29" customFormat="1" ht="15">
      <c r="A38" s="30" t="s">
        <v>70</v>
      </c>
    </row>
    <row r="39" spans="1:5" s="29" customFormat="1" ht="15">
      <c r="A39" s="48" t="s">
        <v>71</v>
      </c>
      <c r="B39" s="49">
        <v>200</v>
      </c>
      <c r="C39" s="49">
        <v>200</v>
      </c>
      <c r="D39" s="49">
        <v>200</v>
      </c>
      <c r="E39" s="49">
        <v>20</v>
      </c>
    </row>
    <row r="40" spans="1:5" s="29" customFormat="1" ht="15">
      <c r="A40" s="44" t="s">
        <v>72</v>
      </c>
      <c r="B40" s="37">
        <v>200</v>
      </c>
      <c r="C40" s="37">
        <v>200</v>
      </c>
      <c r="D40" s="37">
        <v>200</v>
      </c>
      <c r="E40" s="37">
        <f>200*2</f>
        <v>400</v>
      </c>
    </row>
    <row r="41" spans="1:6" s="29" customFormat="1" ht="15">
      <c r="A41" s="44" t="s">
        <v>73</v>
      </c>
      <c r="B41" s="40">
        <f>B39*B40</f>
        <v>40000</v>
      </c>
      <c r="C41" s="40">
        <f>C39*C40</f>
        <v>40000</v>
      </c>
      <c r="D41" s="40">
        <f>D39*D40</f>
        <v>40000</v>
      </c>
      <c r="E41" s="40">
        <f>E39*E40</f>
        <v>8000</v>
      </c>
      <c r="F41" s="41">
        <f>SUM(B41:E41)</f>
        <v>128000</v>
      </c>
    </row>
    <row r="42" spans="2:6" ht="15.75" thickBot="1">
      <c r="B42" s="42"/>
      <c r="C42" s="42"/>
      <c r="D42" s="42"/>
      <c r="E42" s="42"/>
      <c r="F42" s="42">
        <v>200000</v>
      </c>
    </row>
    <row r="43" spans="1:6" ht="15.75" thickBot="1">
      <c r="A43" s="45" t="s">
        <v>69</v>
      </c>
      <c r="B43" s="46">
        <f>+F43*B41</f>
        <v>62500</v>
      </c>
      <c r="C43" s="46">
        <f>+F43*B41</f>
        <v>62500</v>
      </c>
      <c r="D43" s="46">
        <f>+F43*D41</f>
        <v>62500</v>
      </c>
      <c r="E43" s="46">
        <f>+F43*E41</f>
        <v>12500</v>
      </c>
      <c r="F43" s="47">
        <f>+F42/F41</f>
        <v>1.5625</v>
      </c>
    </row>
    <row r="44" spans="2:6" ht="15">
      <c r="B44" s="42"/>
      <c r="C44" s="42"/>
      <c r="D44" s="42"/>
      <c r="E44" s="42"/>
      <c r="F44" s="42"/>
    </row>
    <row r="45" spans="2:6" ht="15">
      <c r="B45" s="42"/>
      <c r="C45" s="42"/>
      <c r="D45" s="42"/>
      <c r="E45" s="42"/>
      <c r="F45" s="42"/>
    </row>
    <row r="46" spans="2:6" ht="15">
      <c r="B46" s="42">
        <f>+B34*B36</f>
        <v>659300.0000000001</v>
      </c>
      <c r="C46" s="42"/>
      <c r="D46" s="42"/>
      <c r="E46" s="42"/>
      <c r="F46" s="42"/>
    </row>
    <row r="47" spans="2:6" ht="15">
      <c r="B47" s="42">
        <f>+B46*2</f>
        <v>1318600.0000000002</v>
      </c>
      <c r="C47" s="42"/>
      <c r="D47" s="42"/>
      <c r="E47" s="42"/>
      <c r="F47" s="42">
        <v>305</v>
      </c>
    </row>
    <row r="48" spans="2:6" ht="15">
      <c r="B48" s="42">
        <f>+B47*0.9</f>
        <v>1186740.0000000002</v>
      </c>
      <c r="C48" s="42"/>
      <c r="D48" s="42"/>
      <c r="E48" s="42"/>
      <c r="F48" s="42"/>
    </row>
    <row r="49" spans="2:6" ht="15">
      <c r="B49" s="42"/>
      <c r="C49" s="42"/>
      <c r="D49" s="42"/>
      <c r="E49" s="42"/>
      <c r="F49" s="42"/>
    </row>
    <row r="50" spans="2:6" ht="15">
      <c r="B50" s="42"/>
      <c r="C50" s="42"/>
      <c r="D50" s="42"/>
      <c r="E50" s="42"/>
      <c r="F50" s="42"/>
    </row>
    <row r="51" spans="2:6" ht="15">
      <c r="B51" s="42"/>
      <c r="C51" s="42"/>
      <c r="D51" s="42"/>
      <c r="E51" s="42"/>
      <c r="F51" s="42"/>
    </row>
  </sheetData>
  <sheetProtection/>
  <mergeCells count="3">
    <mergeCell ref="A2:H2"/>
    <mergeCell ref="A3:H3"/>
    <mergeCell ref="A4:H4"/>
  </mergeCells>
  <printOptions/>
  <pageMargins left="0.7874015748031497" right="0.3937007874015748" top="0.3937007874015748" bottom="0.3937007874015748" header="0.31496062992125984" footer="0.31496062992125984"/>
  <pageSetup horizontalDpi="300" verticalDpi="3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E20" sqref="E20"/>
    </sheetView>
  </sheetViews>
  <sheetFormatPr defaultColWidth="11.421875" defaultRowHeight="15"/>
  <cols>
    <col min="1" max="1" width="30.140625" style="0" customWidth="1"/>
    <col min="2" max="2" width="16.140625" style="0" bestFit="1" customWidth="1"/>
    <col min="8" max="8" width="2.8515625" style="0" customWidth="1"/>
  </cols>
  <sheetData>
    <row r="1" ht="15">
      <c r="A1" s="53" t="s">
        <v>164</v>
      </c>
    </row>
    <row r="2" spans="1:7" ht="15">
      <c r="A2" s="53" t="s">
        <v>10</v>
      </c>
      <c r="C2" s="54" t="s">
        <v>61</v>
      </c>
      <c r="D2" s="54" t="s">
        <v>62</v>
      </c>
      <c r="E2" s="54" t="s">
        <v>63</v>
      </c>
      <c r="F2" s="54" t="s">
        <v>64</v>
      </c>
      <c r="G2" s="54" t="s">
        <v>166</v>
      </c>
    </row>
    <row r="3" spans="1:12" ht="12" customHeight="1">
      <c r="A3" s="55" t="s">
        <v>159</v>
      </c>
      <c r="B3" s="39">
        <v>1800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2" customHeight="1">
      <c r="A4" s="55" t="s">
        <v>167</v>
      </c>
      <c r="B4" s="42">
        <v>10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2" customHeight="1">
      <c r="A5" s="55" t="s">
        <v>160</v>
      </c>
      <c r="B5" s="42">
        <v>12</v>
      </c>
      <c r="C5" s="39">
        <f>+B3*B4*B5</f>
        <v>216000</v>
      </c>
      <c r="D5" s="39">
        <v>216000</v>
      </c>
      <c r="E5" s="39">
        <v>216000</v>
      </c>
      <c r="F5" s="39">
        <v>216000</v>
      </c>
      <c r="G5" s="39"/>
      <c r="H5" s="39"/>
      <c r="I5" s="39"/>
      <c r="J5" s="39"/>
      <c r="K5" s="39"/>
      <c r="L5" s="39"/>
    </row>
    <row r="6" spans="2:12" ht="6.75" customHeight="1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15">
      <c r="A7" s="53" t="s">
        <v>161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ht="12" customHeight="1">
      <c r="A8" s="55" t="s">
        <v>159</v>
      </c>
      <c r="B8" s="39">
        <v>250</v>
      </c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ht="12" customHeight="1">
      <c r="A9" s="55" t="s">
        <v>158</v>
      </c>
      <c r="B9" s="42">
        <v>10</v>
      </c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12" customHeight="1">
      <c r="A10" s="55" t="s">
        <v>160</v>
      </c>
      <c r="B10" s="42">
        <v>12</v>
      </c>
      <c r="C10" s="39">
        <f>+B8*B9*B10</f>
        <v>30000</v>
      </c>
      <c r="D10" s="39">
        <v>30000</v>
      </c>
      <c r="E10" s="39">
        <v>30000</v>
      </c>
      <c r="F10" s="39">
        <v>30000</v>
      </c>
      <c r="G10" s="39"/>
      <c r="H10" s="39"/>
      <c r="I10" s="39"/>
      <c r="J10" s="39"/>
      <c r="K10" s="39"/>
      <c r="L10" s="39"/>
    </row>
    <row r="11" spans="2:12" ht="6.75" customHeight="1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 ht="15">
      <c r="A12" s="53" t="s">
        <v>163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2" ht="12" customHeight="1">
      <c r="A13" s="55" t="s">
        <v>162</v>
      </c>
      <c r="B13" s="39">
        <f>+C5</f>
        <v>216000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2" ht="12" customHeight="1">
      <c r="A14" s="55" t="s">
        <v>26</v>
      </c>
      <c r="B14" s="56">
        <v>0.3</v>
      </c>
      <c r="C14" s="39">
        <f>+B13*B14</f>
        <v>64800</v>
      </c>
      <c r="D14" s="39">
        <v>64800</v>
      </c>
      <c r="E14" s="39">
        <v>64800</v>
      </c>
      <c r="F14" s="39">
        <v>64800</v>
      </c>
      <c r="G14" s="39"/>
      <c r="H14" s="39"/>
      <c r="I14" s="39"/>
      <c r="J14" s="39"/>
      <c r="K14" s="39"/>
      <c r="L14" s="39"/>
    </row>
    <row r="15" spans="1:12" ht="6" customHeight="1">
      <c r="A15" s="55"/>
      <c r="B15" s="42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spans="1:12" ht="15">
      <c r="A16" s="53" t="s">
        <v>13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1:12" ht="15">
      <c r="A17" s="55" t="s">
        <v>162</v>
      </c>
      <c r="B17" s="39">
        <f>+C5</f>
        <v>216000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spans="1:12" ht="15">
      <c r="A18" s="55" t="s">
        <v>26</v>
      </c>
      <c r="B18" s="56">
        <v>0.1</v>
      </c>
      <c r="C18" s="39">
        <f>+B17*B18</f>
        <v>21600</v>
      </c>
      <c r="D18" s="39">
        <v>21600</v>
      </c>
      <c r="E18" s="39">
        <v>21600</v>
      </c>
      <c r="F18" s="39">
        <v>21600</v>
      </c>
      <c r="G18" s="39"/>
      <c r="H18" s="39"/>
      <c r="I18" s="39"/>
      <c r="J18" s="39"/>
      <c r="K18" s="39"/>
      <c r="L18" s="39"/>
    </row>
    <row r="19" spans="2:12" ht="6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</row>
    <row r="20" spans="1:12" ht="15">
      <c r="A20" s="53" t="s">
        <v>14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1" spans="1:12" ht="15">
      <c r="A21" s="53" t="s">
        <v>15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</row>
    <row r="22" spans="1:12" ht="12" customHeight="1">
      <c r="A22" s="55" t="s">
        <v>168</v>
      </c>
      <c r="B22" s="39">
        <v>60000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</row>
    <row r="23" spans="1:12" ht="12" customHeight="1">
      <c r="A23" s="55" t="s">
        <v>26</v>
      </c>
      <c r="B23" s="56">
        <v>0.8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spans="1:12" ht="12" customHeight="1">
      <c r="A24" s="55" t="s">
        <v>165</v>
      </c>
      <c r="B24" s="42">
        <v>4</v>
      </c>
      <c r="C24" s="39">
        <f>+(B22*B23)/4</f>
        <v>12000</v>
      </c>
      <c r="D24" s="39">
        <v>12000</v>
      </c>
      <c r="E24" s="39">
        <v>12000</v>
      </c>
      <c r="F24" s="39">
        <v>12000</v>
      </c>
      <c r="G24" s="39">
        <v>12000</v>
      </c>
      <c r="H24" s="39"/>
      <c r="I24" s="57">
        <f>SUM(C24:G24)</f>
        <v>60000</v>
      </c>
      <c r="J24" s="39"/>
      <c r="K24" s="39"/>
      <c r="L24" s="39"/>
    </row>
    <row r="25" spans="1:12" ht="6.75" customHeight="1">
      <c r="A25" s="55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</row>
    <row r="26" spans="1:12" ht="15">
      <c r="A26" s="53" t="s">
        <v>161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  <row r="27" spans="1:12" ht="12" customHeight="1">
      <c r="A27" s="55" t="s">
        <v>170</v>
      </c>
      <c r="B27" s="39">
        <v>3000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</row>
    <row r="28" spans="1:2" ht="12" customHeight="1">
      <c r="A28" s="56">
        <v>0.8</v>
      </c>
      <c r="B28" s="39">
        <v>0.8</v>
      </c>
    </row>
    <row r="29" spans="1:9" ht="12" customHeight="1">
      <c r="A29" s="55" t="s">
        <v>169</v>
      </c>
      <c r="B29" s="42">
        <v>4</v>
      </c>
      <c r="C29">
        <f>+B27*B28/B29</f>
        <v>600</v>
      </c>
      <c r="D29">
        <v>600</v>
      </c>
      <c r="E29">
        <v>600</v>
      </c>
      <c r="F29">
        <v>600</v>
      </c>
      <c r="G29">
        <v>600</v>
      </c>
      <c r="I29" s="57">
        <f>SUM(C29:G29)</f>
        <v>3000</v>
      </c>
    </row>
    <row r="30" ht="6.75" customHeight="1">
      <c r="A30" s="55"/>
    </row>
    <row r="31" ht="15">
      <c r="A31" s="53" t="s">
        <v>163</v>
      </c>
    </row>
    <row r="32" spans="1:6" ht="15">
      <c r="A32" s="55" t="s">
        <v>162</v>
      </c>
      <c r="B32" s="39">
        <v>12000</v>
      </c>
      <c r="C32" s="39"/>
      <c r="D32" s="39"/>
      <c r="E32" s="39"/>
      <c r="F32" s="39"/>
    </row>
    <row r="33" spans="1:9" ht="15">
      <c r="A33" s="55" t="s">
        <v>26</v>
      </c>
      <c r="B33" s="56">
        <v>0.3</v>
      </c>
      <c r="C33" s="39">
        <f>+B32*B33</f>
        <v>3600</v>
      </c>
      <c r="D33" s="39">
        <v>3600</v>
      </c>
      <c r="E33" s="39">
        <v>3600</v>
      </c>
      <c r="F33" s="39">
        <v>3600</v>
      </c>
      <c r="G33">
        <v>3600</v>
      </c>
      <c r="I33" s="57">
        <f>SUM(C33:G33)</f>
        <v>18000</v>
      </c>
    </row>
    <row r="34" ht="6" customHeight="1">
      <c r="A34" s="55"/>
    </row>
    <row r="35" spans="1:7" ht="15">
      <c r="A35" s="53" t="s">
        <v>13</v>
      </c>
      <c r="B35" s="39"/>
      <c r="C35" s="39"/>
      <c r="D35" s="39"/>
      <c r="E35" s="39"/>
      <c r="F35" s="39"/>
      <c r="G35" s="39"/>
    </row>
    <row r="36" spans="1:7" ht="15">
      <c r="A36" s="55" t="s">
        <v>162</v>
      </c>
      <c r="B36" s="39">
        <f>+C24</f>
        <v>12000</v>
      </c>
      <c r="C36" s="39"/>
      <c r="D36" s="39"/>
      <c r="E36" s="39"/>
      <c r="F36" s="39"/>
      <c r="G36" s="39"/>
    </row>
    <row r="37" spans="1:9" ht="15">
      <c r="A37" s="55" t="s">
        <v>26</v>
      </c>
      <c r="B37" s="56">
        <v>0.1</v>
      </c>
      <c r="C37" s="39">
        <f>+B36*B37</f>
        <v>1200</v>
      </c>
      <c r="D37" s="39">
        <v>1200</v>
      </c>
      <c r="E37" s="39">
        <v>1200</v>
      </c>
      <c r="F37" s="39">
        <v>1200</v>
      </c>
      <c r="G37" s="39">
        <v>1200</v>
      </c>
      <c r="I37" s="57">
        <f>SUM(C37:G37)</f>
        <v>6000</v>
      </c>
    </row>
    <row r="38" spans="2:7" ht="15">
      <c r="B38" s="39"/>
      <c r="C38" s="39"/>
      <c r="D38" s="39"/>
      <c r="E38" s="39"/>
      <c r="F38" s="39"/>
      <c r="G38" s="39"/>
    </row>
    <row r="39" spans="1:12" ht="15">
      <c r="A39" s="53" t="s">
        <v>171</v>
      </c>
      <c r="B39" s="39">
        <v>50000</v>
      </c>
      <c r="C39" s="39">
        <f>+B39/5</f>
        <v>10000</v>
      </c>
      <c r="D39" s="39">
        <v>10000</v>
      </c>
      <c r="E39" s="39">
        <v>10000</v>
      </c>
      <c r="F39" s="39">
        <v>10000</v>
      </c>
      <c r="G39" s="39">
        <v>10000</v>
      </c>
      <c r="H39" s="39"/>
      <c r="I39" s="57">
        <f>SUM(C39:G39)</f>
        <v>50000</v>
      </c>
      <c r="J39" s="39"/>
      <c r="K39" s="58"/>
      <c r="L39" s="58"/>
    </row>
    <row r="40" spans="2:12" ht="9" customHeight="1">
      <c r="B40" s="39"/>
      <c r="C40" s="39"/>
      <c r="D40" s="39"/>
      <c r="E40" s="39"/>
      <c r="F40" s="39"/>
      <c r="G40" s="39"/>
      <c r="H40" s="39"/>
      <c r="I40" s="39"/>
      <c r="J40" s="39"/>
      <c r="K40" s="58"/>
      <c r="L40" s="58"/>
    </row>
    <row r="41" spans="1:12" ht="15">
      <c r="A41" s="53" t="s">
        <v>69</v>
      </c>
      <c r="B41" s="39"/>
      <c r="C41" s="39"/>
      <c r="D41" s="39"/>
      <c r="E41" s="39"/>
      <c r="F41" s="39"/>
      <c r="G41" s="39"/>
      <c r="H41" s="39"/>
      <c r="I41" s="39"/>
      <c r="J41" s="39"/>
      <c r="K41" s="58"/>
      <c r="L41" s="58"/>
    </row>
    <row r="42" spans="1:12" ht="12" customHeight="1">
      <c r="A42" s="55" t="s">
        <v>173</v>
      </c>
      <c r="B42" s="57">
        <v>200000</v>
      </c>
      <c r="C42" s="39"/>
      <c r="D42" s="39"/>
      <c r="E42" s="39"/>
      <c r="F42" s="39"/>
      <c r="G42" s="39"/>
      <c r="H42" s="39"/>
      <c r="I42" s="39"/>
      <c r="J42" s="39"/>
      <c r="K42" s="58"/>
      <c r="L42" s="58"/>
    </row>
    <row r="43" spans="1:12" ht="12" customHeight="1">
      <c r="A43" s="55" t="s">
        <v>172</v>
      </c>
      <c r="B43" s="42">
        <f>SUM(C43:F43)</f>
        <v>128000</v>
      </c>
      <c r="C43" s="42">
        <v>40000</v>
      </c>
      <c r="D43" s="42">
        <v>40000</v>
      </c>
      <c r="E43" s="42">
        <v>40000</v>
      </c>
      <c r="F43" s="42">
        <v>8000</v>
      </c>
      <c r="G43" s="39"/>
      <c r="H43" s="39"/>
      <c r="I43" s="39"/>
      <c r="J43" s="39"/>
      <c r="K43" s="58"/>
      <c r="L43" s="58"/>
    </row>
    <row r="44" spans="1:12" ht="12" customHeight="1">
      <c r="A44" s="55" t="s">
        <v>174</v>
      </c>
      <c r="B44" s="58"/>
      <c r="C44" s="39">
        <f>+B42/B43*C43</f>
        <v>62500</v>
      </c>
      <c r="D44" s="39">
        <v>62500</v>
      </c>
      <c r="E44" s="39">
        <v>62500</v>
      </c>
      <c r="F44" s="39">
        <f>+B42/B43*F43</f>
        <v>12500</v>
      </c>
      <c r="G44" s="39"/>
      <c r="H44" s="39"/>
      <c r="I44" s="57">
        <f>SUM(C44:G44)</f>
        <v>200000</v>
      </c>
      <c r="J44" s="39"/>
      <c r="K44" s="58"/>
      <c r="L44" s="58"/>
    </row>
    <row r="45" spans="1:12" ht="6.75" customHeight="1">
      <c r="A45" s="55"/>
      <c r="B45" s="42"/>
      <c r="C45" s="39"/>
      <c r="D45" s="39"/>
      <c r="E45" s="39"/>
      <c r="F45" s="39"/>
      <c r="G45" s="39"/>
      <c r="H45" s="39"/>
      <c r="I45" s="39"/>
      <c r="J45" s="39"/>
      <c r="K45" s="58"/>
      <c r="L45" s="58"/>
    </row>
    <row r="46" spans="1:12" ht="15">
      <c r="A46" s="53" t="s">
        <v>175</v>
      </c>
      <c r="B46" s="39"/>
      <c r="C46" s="39"/>
      <c r="D46" s="39"/>
      <c r="E46" s="39"/>
      <c r="F46" s="39"/>
      <c r="G46" s="39"/>
      <c r="H46" s="39"/>
      <c r="I46" s="39"/>
      <c r="J46" s="39"/>
      <c r="K46" s="58"/>
      <c r="L46" s="58"/>
    </row>
    <row r="47" spans="1:12" ht="12" customHeight="1">
      <c r="A47" s="55" t="s">
        <v>173</v>
      </c>
      <c r="B47" s="57">
        <v>100000</v>
      </c>
      <c r="C47" s="39"/>
      <c r="D47" s="39"/>
      <c r="E47" s="39"/>
      <c r="F47" s="39"/>
      <c r="G47" s="39"/>
      <c r="H47" s="39"/>
      <c r="I47" s="39"/>
      <c r="J47" s="39"/>
      <c r="K47" s="58"/>
      <c r="L47" s="58"/>
    </row>
    <row r="48" spans="1:12" ht="12" customHeight="1">
      <c r="A48" s="55" t="s">
        <v>176</v>
      </c>
      <c r="B48" s="8">
        <v>0.9</v>
      </c>
      <c r="C48" s="39">
        <f>+B47*B48/3</f>
        <v>30000</v>
      </c>
      <c r="D48" s="39">
        <v>30000</v>
      </c>
      <c r="E48" s="39">
        <v>30000</v>
      </c>
      <c r="F48" s="39"/>
      <c r="G48" s="39"/>
      <c r="H48" s="39"/>
      <c r="I48" s="57">
        <f>SUM(C48:G48)</f>
        <v>90000</v>
      </c>
      <c r="J48" s="39"/>
      <c r="K48" s="58"/>
      <c r="L48" s="58"/>
    </row>
    <row r="49" spans="1:12" ht="12" customHeight="1">
      <c r="A49" s="55" t="s">
        <v>177</v>
      </c>
      <c r="B49" s="8">
        <v>0.1</v>
      </c>
      <c r="C49" s="39"/>
      <c r="D49" s="39"/>
      <c r="E49" s="39"/>
      <c r="F49" s="39">
        <f>+B47*B49</f>
        <v>10000</v>
      </c>
      <c r="G49" s="39"/>
      <c r="H49" s="39"/>
      <c r="I49" s="57">
        <f>SUM(C49:G49)</f>
        <v>10000</v>
      </c>
      <c r="J49" s="57">
        <f>SUM(I48:I49)</f>
        <v>100000</v>
      </c>
      <c r="K49" s="58"/>
      <c r="L49" s="58"/>
    </row>
    <row r="50" spans="1:12" ht="6.75" customHeight="1">
      <c r="A50" s="55"/>
      <c r="B50" s="42"/>
      <c r="C50" s="39"/>
      <c r="D50" s="39"/>
      <c r="E50" s="39"/>
      <c r="F50" s="39"/>
      <c r="G50" s="39"/>
      <c r="H50" s="39"/>
      <c r="J50" s="39"/>
      <c r="K50" s="58"/>
      <c r="L50" s="58"/>
    </row>
    <row r="51" spans="1:12" ht="15">
      <c r="A51" s="53" t="s">
        <v>178</v>
      </c>
      <c r="B51" s="39"/>
      <c r="C51" s="39"/>
      <c r="D51" s="39"/>
      <c r="E51" s="39"/>
      <c r="F51" s="39"/>
      <c r="G51" s="39"/>
      <c r="H51" s="39"/>
      <c r="I51" s="39"/>
      <c r="J51" s="39"/>
      <c r="K51" s="58"/>
      <c r="L51" s="58"/>
    </row>
    <row r="52" spans="1:12" ht="12" customHeight="1">
      <c r="A52" s="55" t="s">
        <v>173</v>
      </c>
      <c r="B52" s="57">
        <v>100000</v>
      </c>
      <c r="C52" s="39"/>
      <c r="D52" s="39"/>
      <c r="E52" s="39"/>
      <c r="F52" s="39"/>
      <c r="G52" s="39"/>
      <c r="H52" s="39"/>
      <c r="I52" s="39"/>
      <c r="J52" s="39"/>
      <c r="K52" s="58"/>
      <c r="L52" s="58"/>
    </row>
    <row r="53" spans="1:12" ht="12" customHeight="1">
      <c r="A53" s="55" t="s">
        <v>176</v>
      </c>
      <c r="B53" s="8">
        <v>0.75</v>
      </c>
      <c r="C53" s="39">
        <f>+B52*B53/3</f>
        <v>25000</v>
      </c>
      <c r="D53" s="39">
        <v>25000</v>
      </c>
      <c r="E53" s="39">
        <v>25000</v>
      </c>
      <c r="F53" s="39"/>
      <c r="G53" s="39"/>
      <c r="H53" s="39"/>
      <c r="I53" s="57">
        <f>SUM(C53:G53)</f>
        <v>75000</v>
      </c>
      <c r="J53" s="39"/>
      <c r="K53" s="58"/>
      <c r="L53" s="58"/>
    </row>
    <row r="54" spans="1:12" ht="12" customHeight="1">
      <c r="A54" s="55" t="s">
        <v>177</v>
      </c>
      <c r="B54" s="8">
        <v>0.25</v>
      </c>
      <c r="C54" s="39"/>
      <c r="D54" s="39"/>
      <c r="E54" s="39"/>
      <c r="F54" s="39">
        <f>+B52*B54</f>
        <v>25000</v>
      </c>
      <c r="G54" s="39"/>
      <c r="H54" s="39"/>
      <c r="I54" s="57">
        <f>SUM(C54:G54)</f>
        <v>25000</v>
      </c>
      <c r="J54" s="57">
        <f>SUM(I53:I54)</f>
        <v>100000</v>
      </c>
      <c r="K54" s="58"/>
      <c r="L54" s="58"/>
    </row>
    <row r="55" spans="1:12" ht="15">
      <c r="A55" s="55"/>
      <c r="B55" s="42"/>
      <c r="C55" s="39"/>
      <c r="D55" s="39"/>
      <c r="E55" s="39"/>
      <c r="F55" s="39"/>
      <c r="G55" s="39"/>
      <c r="H55" s="39"/>
      <c r="J55" s="39"/>
      <c r="K55" s="58"/>
      <c r="L55" s="58"/>
    </row>
    <row r="56" spans="2:10" ht="15">
      <c r="B56" s="39"/>
      <c r="C56" s="39"/>
      <c r="D56" s="39"/>
      <c r="E56" s="39"/>
      <c r="F56" s="39"/>
      <c r="G56" s="39"/>
      <c r="H56" s="39"/>
      <c r="I56" s="39"/>
      <c r="J56" s="39"/>
    </row>
    <row r="57" spans="2:10" ht="15">
      <c r="B57" s="39"/>
      <c r="C57" s="39"/>
      <c r="D57" s="39"/>
      <c r="E57" s="39"/>
      <c r="F57" s="39"/>
      <c r="G57" s="39"/>
      <c r="H57" s="39"/>
      <c r="I57" s="39"/>
      <c r="J57" s="39"/>
    </row>
    <row r="58" spans="2:10" ht="15">
      <c r="B58" s="39"/>
      <c r="C58" s="39"/>
      <c r="D58" s="39"/>
      <c r="E58" s="39"/>
      <c r="F58" s="39"/>
      <c r="G58" s="39"/>
      <c r="H58" s="39"/>
      <c r="I58" s="39"/>
      <c r="J58" s="39"/>
    </row>
  </sheetData>
  <sheetProtection/>
  <printOptions/>
  <pageMargins left="0.5118110236220472" right="0.31496062992125984" top="0.35433070866141736" bottom="0.35433070866141736" header="0.31496062992125984" footer="0.31496062992125984"/>
  <pageSetup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showGridLines="0" zoomScalePageLayoutView="0" workbookViewId="0" topLeftCell="A1">
      <selection activeCell="B24" sqref="B24"/>
    </sheetView>
  </sheetViews>
  <sheetFormatPr defaultColWidth="11.421875" defaultRowHeight="15"/>
  <cols>
    <col min="1" max="1" width="38.00390625" style="0" bestFit="1" customWidth="1"/>
    <col min="2" max="2" width="12.421875" style="0" bestFit="1" customWidth="1"/>
    <col min="3" max="3" width="7.57421875" style="0" customWidth="1"/>
    <col min="4" max="4" width="10.8515625" style="0" bestFit="1" customWidth="1"/>
    <col min="8" max="8" width="17.140625" style="0" bestFit="1" customWidth="1"/>
  </cols>
  <sheetData>
    <row r="1" ht="15">
      <c r="H1" s="18"/>
    </row>
    <row r="6" spans="1:2" ht="15">
      <c r="A6" s="7" t="s">
        <v>21</v>
      </c>
      <c r="B6" s="7"/>
    </row>
    <row r="7" spans="1:2" ht="15">
      <c r="A7" s="7" t="s">
        <v>22</v>
      </c>
      <c r="B7" s="7"/>
    </row>
    <row r="8" spans="1:8" ht="15">
      <c r="A8" s="5" t="s">
        <v>2</v>
      </c>
      <c r="B8" s="5" t="s">
        <v>25</v>
      </c>
      <c r="C8" s="5" t="s">
        <v>26</v>
      </c>
      <c r="D8" s="5" t="s">
        <v>61</v>
      </c>
      <c r="E8" s="5" t="s">
        <v>62</v>
      </c>
      <c r="F8" s="5" t="s">
        <v>63</v>
      </c>
      <c r="G8" s="5" t="s">
        <v>64</v>
      </c>
      <c r="H8" s="5" t="s">
        <v>3</v>
      </c>
    </row>
    <row r="9" spans="1:2" ht="15">
      <c r="A9" s="5" t="s">
        <v>75</v>
      </c>
      <c r="B9" s="5"/>
    </row>
    <row r="10" spans="1:8" ht="15">
      <c r="A10" t="s">
        <v>76</v>
      </c>
      <c r="B10" s="9">
        <v>500000</v>
      </c>
      <c r="C10" s="10">
        <v>0.15</v>
      </c>
      <c r="D10" s="2">
        <f>B10*C10</f>
        <v>75000</v>
      </c>
      <c r="E10" s="2"/>
      <c r="F10" s="2"/>
      <c r="G10" s="2"/>
      <c r="H10" s="2"/>
    </row>
    <row r="11" spans="1:8" ht="15">
      <c r="A11" t="s">
        <v>77</v>
      </c>
      <c r="B11" s="9">
        <v>350000</v>
      </c>
      <c r="C11" s="10">
        <v>0.15</v>
      </c>
      <c r="D11" s="2"/>
      <c r="E11" s="2">
        <f>$B$11*$C$11</f>
        <v>52500</v>
      </c>
      <c r="F11" s="2"/>
      <c r="G11" s="2"/>
      <c r="H11" s="2"/>
    </row>
    <row r="12" spans="1:8" ht="15">
      <c r="A12" t="s">
        <v>78</v>
      </c>
      <c r="B12" s="9">
        <v>100000</v>
      </c>
      <c r="C12" s="10">
        <v>0.15</v>
      </c>
      <c r="D12" s="2"/>
      <c r="E12" s="2"/>
      <c r="F12" s="2">
        <f>$B$12*$C$12</f>
        <v>15000</v>
      </c>
      <c r="G12" s="2"/>
      <c r="H12" s="2"/>
    </row>
    <row r="13" spans="1:8" ht="15">
      <c r="A13" s="5" t="s">
        <v>27</v>
      </c>
      <c r="B13" s="9"/>
      <c r="C13" s="10"/>
      <c r="D13" s="2"/>
      <c r="E13" s="2"/>
      <c r="F13" s="2"/>
      <c r="G13" s="2"/>
      <c r="H13" s="2"/>
    </row>
    <row r="14" spans="1:8" ht="15">
      <c r="A14" t="s">
        <v>79</v>
      </c>
      <c r="B14" s="9">
        <v>200000</v>
      </c>
      <c r="C14" s="10">
        <v>0.2</v>
      </c>
      <c r="D14" s="2">
        <f>(($B$14*$C$14)*50%)</f>
        <v>20000</v>
      </c>
      <c r="E14" s="2">
        <f>(($B$14*$C$14)*50%)</f>
        <v>20000</v>
      </c>
      <c r="F14" s="2"/>
      <c r="G14" s="2"/>
      <c r="H14" s="2"/>
    </row>
    <row r="15" spans="1:8" ht="15">
      <c r="A15" t="s">
        <v>80</v>
      </c>
      <c r="B15" s="9">
        <v>100000</v>
      </c>
      <c r="C15" s="10">
        <v>0.2</v>
      </c>
      <c r="D15" s="2"/>
      <c r="E15" s="2"/>
      <c r="F15" s="2"/>
      <c r="G15" s="2">
        <f>(($B$15*$C$15))</f>
        <v>20000</v>
      </c>
      <c r="H15" s="2"/>
    </row>
    <row r="16" spans="1:10" ht="15">
      <c r="A16" t="s">
        <v>81</v>
      </c>
      <c r="B16" s="9">
        <v>200000</v>
      </c>
      <c r="C16" s="10">
        <v>0.2</v>
      </c>
      <c r="D16" s="2">
        <f>(($B$16*$C$16)*30%)</f>
        <v>12000</v>
      </c>
      <c r="E16" s="2">
        <f>(($B$16*$C$16)*30%)</f>
        <v>12000</v>
      </c>
      <c r="F16" s="2">
        <f>(($B$16*$C$16)*30%)</f>
        <v>12000</v>
      </c>
      <c r="G16" s="2">
        <f>(($B$16*$C$16)*10%)</f>
        <v>4000</v>
      </c>
      <c r="H16" s="2"/>
      <c r="J16" s="2"/>
    </row>
    <row r="17" spans="1:8" ht="15">
      <c r="A17" s="5" t="s">
        <v>23</v>
      </c>
      <c r="B17" s="9"/>
      <c r="C17" s="10"/>
      <c r="D17" s="2"/>
      <c r="E17" s="2"/>
      <c r="F17" s="2"/>
      <c r="G17" s="2"/>
      <c r="H17" s="2"/>
    </row>
    <row r="18" spans="1:8" ht="15">
      <c r="A18" t="s">
        <v>24</v>
      </c>
      <c r="B18" s="9">
        <v>150000</v>
      </c>
      <c r="C18" s="10">
        <v>0.05</v>
      </c>
      <c r="D18" s="2"/>
      <c r="E18" s="2"/>
      <c r="F18" s="2"/>
      <c r="G18" s="2"/>
      <c r="H18" s="2">
        <f>B18*C18</f>
        <v>7500</v>
      </c>
    </row>
    <row r="19" spans="1:9" s="21" customFormat="1" ht="15">
      <c r="A19" s="19" t="s">
        <v>28</v>
      </c>
      <c r="B19" s="20"/>
      <c r="C19" s="25"/>
      <c r="D19" s="26">
        <f>SUM(D10:D18)</f>
        <v>107000</v>
      </c>
      <c r="E19" s="26">
        <f>SUM(E10:E18)</f>
        <v>84500</v>
      </c>
      <c r="F19" s="26">
        <f>SUM(F10:F18)</f>
        <v>27000</v>
      </c>
      <c r="G19" s="26">
        <f>SUM(G10:G18)</f>
        <v>24000</v>
      </c>
      <c r="H19" s="26">
        <f>SUM(H10:H18)</f>
        <v>7500</v>
      </c>
      <c r="I19" s="27">
        <f>SUM(D19:H19)</f>
        <v>250000</v>
      </c>
    </row>
    <row r="20" spans="2:8" ht="15">
      <c r="B20" s="9"/>
      <c r="C20" s="10"/>
      <c r="D20" s="2"/>
      <c r="E20" s="2"/>
      <c r="F20" s="2"/>
      <c r="G20" s="2"/>
      <c r="H20" s="2"/>
    </row>
    <row r="21" spans="2:8" ht="15">
      <c r="B21" s="9"/>
      <c r="C21" s="8"/>
      <c r="D21" s="2"/>
      <c r="E21" s="2"/>
      <c r="F21" s="2"/>
      <c r="G21" s="2"/>
      <c r="H21" s="2"/>
    </row>
    <row r="22" spans="2:8" ht="15">
      <c r="B22" s="9"/>
      <c r="D22" s="2"/>
      <c r="E22" s="2"/>
      <c r="F22" s="2"/>
      <c r="G22" s="2"/>
      <c r="H22" s="2"/>
    </row>
    <row r="23" spans="2:8" ht="15">
      <c r="B23" s="1"/>
      <c r="D23" s="2"/>
      <c r="E23" s="2"/>
      <c r="F23" s="2"/>
      <c r="G23" s="2"/>
      <c r="H23" s="2"/>
    </row>
    <row r="24" spans="2:8" ht="15">
      <c r="B24" s="1"/>
      <c r="D24" s="2"/>
      <c r="E24" s="2"/>
      <c r="F24" s="2"/>
      <c r="G24" s="2"/>
      <c r="H24" s="2"/>
    </row>
    <row r="25" ht="15">
      <c r="B25" s="1"/>
    </row>
    <row r="26" ht="15">
      <c r="B26" s="1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71"/>
  <sheetViews>
    <sheetView showGridLines="0" zoomScalePageLayoutView="0" workbookViewId="0" topLeftCell="A1">
      <selection activeCell="B24" sqref="B24"/>
    </sheetView>
  </sheetViews>
  <sheetFormatPr defaultColWidth="11.421875" defaultRowHeight="15"/>
  <cols>
    <col min="1" max="1" width="27.8515625" style="0" bestFit="1" customWidth="1"/>
    <col min="2" max="2" width="17.140625" style="9" bestFit="1" customWidth="1"/>
    <col min="3" max="4" width="12.421875" style="9" bestFit="1" customWidth="1"/>
  </cols>
  <sheetData>
    <row r="1" ht="15">
      <c r="F1" s="18"/>
    </row>
    <row r="2" ht="15">
      <c r="A2" t="s">
        <v>31</v>
      </c>
    </row>
    <row r="3" ht="15">
      <c r="A3" s="5" t="s">
        <v>38</v>
      </c>
    </row>
    <row r="4" spans="1:3" ht="15">
      <c r="A4" t="s">
        <v>78</v>
      </c>
      <c r="C4" s="9">
        <v>100000</v>
      </c>
    </row>
    <row r="5" ht="15">
      <c r="A5" s="5" t="s">
        <v>83</v>
      </c>
    </row>
    <row r="6" spans="1:4" ht="15">
      <c r="A6" t="s">
        <v>84</v>
      </c>
      <c r="D6" s="9">
        <v>100000</v>
      </c>
    </row>
    <row r="7" spans="1:4" s="21" customFormat="1" ht="15">
      <c r="A7" s="22" t="s">
        <v>33</v>
      </c>
      <c r="B7" s="23"/>
      <c r="C7" s="23">
        <f>SUM(C4:C6)</f>
        <v>100000</v>
      </c>
      <c r="D7" s="23">
        <f>SUM(D4:D6)</f>
        <v>100000</v>
      </c>
    </row>
    <row r="10" ht="15">
      <c r="A10" t="s">
        <v>34</v>
      </c>
    </row>
    <row r="11" spans="1:3" ht="15">
      <c r="A11" s="5" t="s">
        <v>85</v>
      </c>
      <c r="C11" s="9">
        <f>SUM(B12:B14)</f>
        <v>659300</v>
      </c>
    </row>
    <row r="12" spans="1:2" ht="15">
      <c r="A12" t="s">
        <v>35</v>
      </c>
      <c r="B12" s="9">
        <f>'HOJA COSTO EL LIMON DULCE'!B$10</f>
        <v>40000</v>
      </c>
    </row>
    <row r="13" spans="1:2" ht="15">
      <c r="A13" t="s">
        <v>36</v>
      </c>
      <c r="B13" s="9">
        <f>'HOJA COSTO EL LIMON DULCE'!B$14</f>
        <v>332400</v>
      </c>
    </row>
    <row r="14" spans="1:2" ht="15">
      <c r="A14" t="s">
        <v>37</v>
      </c>
      <c r="B14" s="9">
        <f>'HOJA COSTO EL LIMON DULCE'!B$19</f>
        <v>286900</v>
      </c>
    </row>
    <row r="15" spans="1:3" ht="15">
      <c r="A15" s="5" t="s">
        <v>86</v>
      </c>
      <c r="C15" s="9">
        <f>SUM(B16:B18)</f>
        <v>636800</v>
      </c>
    </row>
    <row r="16" spans="1:2" ht="15">
      <c r="A16" t="s">
        <v>35</v>
      </c>
      <c r="B16" s="9">
        <f>'HOJA COSTO EL LIMON DULCE'!C$10</f>
        <v>40000</v>
      </c>
    </row>
    <row r="17" spans="1:2" ht="15">
      <c r="A17" t="s">
        <v>36</v>
      </c>
      <c r="B17" s="9">
        <f>'HOJA COSTO EL LIMON DULCE'!C$14</f>
        <v>332400</v>
      </c>
    </row>
    <row r="18" spans="1:2" ht="15">
      <c r="A18" t="s">
        <v>37</v>
      </c>
      <c r="B18" s="9">
        <f>'HOJA COSTO EL LIMON DULCE'!C$19</f>
        <v>264400</v>
      </c>
    </row>
    <row r="19" spans="1:3" ht="15">
      <c r="A19" s="5" t="s">
        <v>87</v>
      </c>
      <c r="C19" s="9">
        <f>SUM(B20:B22)</f>
        <v>579300</v>
      </c>
    </row>
    <row r="20" spans="1:2" ht="15">
      <c r="A20" t="s">
        <v>35</v>
      </c>
      <c r="B20" s="9">
        <f>'HOJA COSTO EL LIMON DULCE'!D$10</f>
        <v>40000</v>
      </c>
    </row>
    <row r="21" spans="1:2" ht="15">
      <c r="A21" t="s">
        <v>36</v>
      </c>
      <c r="B21" s="9">
        <f>'HOJA COSTO EL LIMON DULCE'!D$14</f>
        <v>332400</v>
      </c>
    </row>
    <row r="22" spans="1:2" ht="15">
      <c r="A22" t="s">
        <v>37</v>
      </c>
      <c r="B22" s="9">
        <f>'HOJA COSTO EL LIMON DULCE'!D$19</f>
        <v>206900</v>
      </c>
    </row>
    <row r="23" spans="1:3" ht="15">
      <c r="A23" s="5" t="s">
        <v>88</v>
      </c>
      <c r="C23" s="9">
        <f>SUM(B24:B26)</f>
        <v>531300</v>
      </c>
    </row>
    <row r="24" spans="1:2" ht="15">
      <c r="A24" t="s">
        <v>35</v>
      </c>
      <c r="B24" s="9">
        <f>'HOJA COSTO EL LIMON DULCE'!E$10</f>
        <v>65000</v>
      </c>
    </row>
    <row r="25" spans="1:2" ht="15">
      <c r="A25" t="s">
        <v>36</v>
      </c>
      <c r="B25" s="9">
        <f>'HOJA COSTO EL LIMON DULCE'!E$14</f>
        <v>332400</v>
      </c>
    </row>
    <row r="26" spans="1:2" ht="15">
      <c r="A26" t="s">
        <v>37</v>
      </c>
      <c r="B26" s="9">
        <f>'HOJA COSTO EL LIMON DULCE'!E$19</f>
        <v>133900</v>
      </c>
    </row>
    <row r="27" spans="1:3" ht="15">
      <c r="A27" s="5" t="s">
        <v>39</v>
      </c>
      <c r="C27" s="9">
        <f>'HOJA COSTO EL LIMON DULCE'!F33</f>
        <v>69900</v>
      </c>
    </row>
    <row r="28" spans="1:3" ht="15">
      <c r="A28" t="s">
        <v>40</v>
      </c>
      <c r="C28" s="9">
        <f>'HOJA COSTO EL LIMON DULCE'!G33</f>
        <v>95000</v>
      </c>
    </row>
    <row r="29" spans="1:4" ht="15">
      <c r="A29" t="s">
        <v>41</v>
      </c>
      <c r="D29" s="9">
        <f>'ANEXOS EL LIMON DULCE'!I19</f>
        <v>250000</v>
      </c>
    </row>
    <row r="30" spans="1:5" ht="15">
      <c r="A30" t="s">
        <v>42</v>
      </c>
      <c r="D30" s="9">
        <f>'HOJA COSTO EL LIMON DULCE'!H33</f>
        <v>2321600</v>
      </c>
      <c r="E30" s="9"/>
    </row>
    <row r="31" spans="1:4" s="21" customFormat="1" ht="15">
      <c r="A31" s="22" t="s">
        <v>33</v>
      </c>
      <c r="B31" s="23"/>
      <c r="C31" s="23">
        <f>SUM(C11:C30)</f>
        <v>2571600</v>
      </c>
      <c r="D31" s="23">
        <f>SUM(D11:D30)</f>
        <v>2571600</v>
      </c>
    </row>
    <row r="34" ht="15">
      <c r="A34" t="s">
        <v>43</v>
      </c>
    </row>
    <row r="35" spans="1:3" ht="15">
      <c r="A35" s="5" t="s">
        <v>40</v>
      </c>
      <c r="C35" s="9">
        <f>SUM(B36:B39)</f>
        <v>2406700</v>
      </c>
    </row>
    <row r="36" spans="1:2" ht="15">
      <c r="A36" t="s">
        <v>93</v>
      </c>
      <c r="B36" s="9">
        <f>C11</f>
        <v>659300</v>
      </c>
    </row>
    <row r="37" spans="1:2" ht="15">
      <c r="A37" t="s">
        <v>89</v>
      </c>
      <c r="B37" s="9">
        <f>C15</f>
        <v>636800</v>
      </c>
    </row>
    <row r="38" spans="1:2" ht="15">
      <c r="A38" t="s">
        <v>90</v>
      </c>
      <c r="B38" s="9">
        <f>C19</f>
        <v>579300</v>
      </c>
    </row>
    <row r="39" spans="1:2" ht="15">
      <c r="A39" t="s">
        <v>91</v>
      </c>
      <c r="B39" s="9">
        <f>C23</f>
        <v>531300</v>
      </c>
    </row>
    <row r="40" spans="1:4" ht="15">
      <c r="A40" s="5" t="s">
        <v>20</v>
      </c>
      <c r="D40" s="9">
        <f>SUM(B41:B44)</f>
        <v>2406700</v>
      </c>
    </row>
    <row r="41" spans="1:2" ht="15">
      <c r="A41" t="s">
        <v>92</v>
      </c>
      <c r="B41" s="9">
        <f>C11</f>
        <v>659300</v>
      </c>
    </row>
    <row r="42" spans="1:2" ht="15">
      <c r="A42" t="s">
        <v>94</v>
      </c>
      <c r="B42" s="9">
        <f>C15</f>
        <v>636800</v>
      </c>
    </row>
    <row r="43" spans="1:2" ht="15">
      <c r="A43" t="s">
        <v>95</v>
      </c>
      <c r="B43" s="9">
        <f>C19</f>
        <v>579300</v>
      </c>
    </row>
    <row r="44" spans="1:2" ht="15">
      <c r="A44" t="s">
        <v>96</v>
      </c>
      <c r="B44" s="9">
        <f>C23</f>
        <v>531300</v>
      </c>
    </row>
    <row r="45" spans="1:4" s="21" customFormat="1" ht="15">
      <c r="A45" s="22" t="s">
        <v>33</v>
      </c>
      <c r="B45" s="23"/>
      <c r="C45" s="23">
        <f>SUM(C35:C44)</f>
        <v>2406700</v>
      </c>
      <c r="D45" s="23">
        <f>SUM(D35:D44)</f>
        <v>2406700</v>
      </c>
    </row>
    <row r="46" spans="1:4" ht="15">
      <c r="A46" s="13"/>
      <c r="B46" s="14"/>
      <c r="C46" s="14"/>
      <c r="D46" s="14"/>
    </row>
    <row r="47" spans="1:4" ht="15">
      <c r="A47" s="13"/>
      <c r="B47" s="14"/>
      <c r="C47" s="14"/>
      <c r="D47" s="14"/>
    </row>
    <row r="48" spans="1:4" ht="15">
      <c r="A48" s="15" t="s">
        <v>45</v>
      </c>
      <c r="B48" s="14"/>
      <c r="C48" s="14"/>
      <c r="D48" s="14"/>
    </row>
    <row r="49" spans="1:4" ht="15">
      <c r="A49" t="s">
        <v>32</v>
      </c>
      <c r="B49" s="17"/>
      <c r="C49" s="17">
        <f>D50</f>
        <v>6177220</v>
      </c>
      <c r="D49" s="17"/>
    </row>
    <row r="50" spans="1:4" ht="15">
      <c r="A50" s="5" t="s">
        <v>44</v>
      </c>
      <c r="B50" s="17"/>
      <c r="C50" s="17"/>
      <c r="D50" s="17">
        <f>SUM(B51:B55)</f>
        <v>6177220</v>
      </c>
    </row>
    <row r="51" spans="1:4" ht="15">
      <c r="A51" s="15" t="s">
        <v>97</v>
      </c>
      <c r="B51" s="16">
        <f>(('HOJA COSTO EL LIMON DULCE'!B36*2)*'HOJA COSTO EL LIMON DULCE'!B34)*90%</f>
        <v>1186740.0000000002</v>
      </c>
      <c r="C51" s="17"/>
      <c r="D51" s="17"/>
    </row>
    <row r="52" spans="1:4" ht="15">
      <c r="A52" s="15" t="s">
        <v>98</v>
      </c>
      <c r="B52" s="16">
        <f>(('HOJA COSTO EL LIMON DULCE'!C36*2)*'HOJA COSTO EL LIMON DULCE'!C34)*90%</f>
        <v>1146240</v>
      </c>
      <c r="C52" s="17"/>
      <c r="D52" s="17"/>
    </row>
    <row r="53" spans="1:4" ht="15">
      <c r="A53" s="15" t="s">
        <v>99</v>
      </c>
      <c r="B53" s="16">
        <f>(('HOJA COSTO EL LIMON DULCE'!D36*2)*'HOJA COSTO EL LIMON DULCE'!D34)*90%</f>
        <v>1042740</v>
      </c>
      <c r="C53" s="17"/>
      <c r="D53" s="17"/>
    </row>
    <row r="54" spans="1:4" ht="15">
      <c r="A54" s="15" t="s">
        <v>100</v>
      </c>
      <c r="B54" s="16">
        <f>8000*350</f>
        <v>2800000</v>
      </c>
      <c r="C54" s="17"/>
      <c r="D54" s="17"/>
    </row>
    <row r="55" spans="1:4" ht="15">
      <c r="A55" s="15" t="s">
        <v>101</v>
      </c>
      <c r="B55" s="9">
        <f>10*150</f>
        <v>1500</v>
      </c>
      <c r="C55" s="14"/>
      <c r="D55" s="14"/>
    </row>
    <row r="56" spans="1:5" s="21" customFormat="1" ht="15">
      <c r="A56" s="22" t="s">
        <v>33</v>
      </c>
      <c r="B56" s="23"/>
      <c r="C56" s="23">
        <f>SUM(C46:C55)</f>
        <v>6177220</v>
      </c>
      <c r="D56" s="23">
        <f>SUM(D46:D55)</f>
        <v>6177220</v>
      </c>
      <c r="E56" s="24"/>
    </row>
    <row r="60" ht="15">
      <c r="A60" t="s">
        <v>45</v>
      </c>
    </row>
    <row r="61" spans="1:3" ht="15">
      <c r="A61" s="5" t="s">
        <v>46</v>
      </c>
      <c r="C61" s="9">
        <f>SUM(B62:B65)</f>
        <v>2333160</v>
      </c>
    </row>
    <row r="62" spans="1:2" ht="15">
      <c r="A62" s="15" t="s">
        <v>97</v>
      </c>
      <c r="B62" s="9">
        <f>'HOJA COSTO EL LIMON DULCE'!B36*'HOJA COSTO EL LIMON DULCE'!B34*90%</f>
        <v>593370.0000000001</v>
      </c>
    </row>
    <row r="63" spans="1:2" ht="15">
      <c r="A63" s="15" t="s">
        <v>98</v>
      </c>
      <c r="B63" s="9">
        <f>'HOJA COSTO EL LIMON DULCE'!C37*'HOJA COSTO EL LIMON DULCE'!C34*90%</f>
        <v>627120.0000000001</v>
      </c>
    </row>
    <row r="64" spans="1:2" ht="15">
      <c r="A64" s="15" t="s">
        <v>99</v>
      </c>
      <c r="B64" s="9">
        <f>'HOJA COSTO EL LIMON DULCE'!D36*'HOJA COSTO EL LIMON DULCE'!D34*90%</f>
        <v>521370</v>
      </c>
    </row>
    <row r="65" spans="1:2" ht="15">
      <c r="A65" s="15" t="s">
        <v>100</v>
      </c>
      <c r="B65" s="9">
        <f>'HOJA COSTO EL LIMON DULCE'!E36*'HOJA COSTO EL LIMON DULCE'!E34</f>
        <v>591300</v>
      </c>
    </row>
    <row r="66" spans="1:4" ht="15">
      <c r="A66" s="5" t="s">
        <v>5</v>
      </c>
      <c r="D66" s="9">
        <f>SUM(B67:B70)</f>
        <v>2333160</v>
      </c>
    </row>
    <row r="67" spans="1:2" ht="15">
      <c r="A67" s="15" t="s">
        <v>97</v>
      </c>
      <c r="B67" s="9">
        <f>'HOJA COSTO EL LIMON DULCE'!B36*'HOJA COSTO EL LIMON DULCE'!B34*90%</f>
        <v>593370.0000000001</v>
      </c>
    </row>
    <row r="68" spans="1:2" ht="15">
      <c r="A68" s="15" t="s">
        <v>98</v>
      </c>
      <c r="B68" s="9">
        <f>'HOJA COSTO EL LIMON DULCE'!C37*'HOJA COSTO EL LIMON DULCE'!C34*90%</f>
        <v>627120.0000000001</v>
      </c>
    </row>
    <row r="69" spans="1:2" ht="15">
      <c r="A69" s="15" t="s">
        <v>99</v>
      </c>
      <c r="B69" s="9">
        <f>'HOJA COSTO EL LIMON DULCE'!D36*'HOJA COSTO EL LIMON DULCE'!D34*90%</f>
        <v>521370</v>
      </c>
    </row>
    <row r="70" spans="1:2" ht="15">
      <c r="A70" s="15" t="s">
        <v>100</v>
      </c>
      <c r="B70" s="9">
        <f>'HOJA COSTO EL LIMON DULCE'!E36*'HOJA COSTO EL LIMON DULCE'!E34</f>
        <v>591300</v>
      </c>
    </row>
    <row r="71" spans="1:4" s="21" customFormat="1" ht="15">
      <c r="A71" s="22" t="s">
        <v>33</v>
      </c>
      <c r="B71" s="23"/>
      <c r="C71" s="23">
        <f>SUM(C61:C70)</f>
        <v>2333160</v>
      </c>
      <c r="D71" s="23">
        <f>SUM(D61:D70)</f>
        <v>2333160</v>
      </c>
    </row>
  </sheetData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17"/>
  <sheetViews>
    <sheetView showGridLines="0" zoomScalePageLayoutView="0" workbookViewId="0" topLeftCell="A1">
      <selection activeCell="A25" sqref="A25"/>
    </sheetView>
  </sheetViews>
  <sheetFormatPr defaultColWidth="11.421875" defaultRowHeight="15"/>
  <cols>
    <col min="1" max="1" width="22.140625" style="0" bestFit="1" customWidth="1"/>
    <col min="3" max="3" width="15.00390625" style="9" bestFit="1" customWidth="1"/>
  </cols>
  <sheetData>
    <row r="1" ht="15">
      <c r="E1" s="18"/>
    </row>
    <row r="2" spans="1:3" ht="15">
      <c r="A2" s="59" t="s">
        <v>60</v>
      </c>
      <c r="B2" s="59"/>
      <c r="C2" s="59"/>
    </row>
    <row r="3" spans="1:3" ht="15">
      <c r="A3" s="59" t="s">
        <v>56</v>
      </c>
      <c r="B3" s="59"/>
      <c r="C3" s="59"/>
    </row>
    <row r="4" spans="1:3" ht="15">
      <c r="A4" s="59" t="s">
        <v>102</v>
      </c>
      <c r="B4" s="59"/>
      <c r="C4" s="59"/>
    </row>
    <row r="5" spans="1:3" ht="15">
      <c r="A5" s="59" t="s">
        <v>57</v>
      </c>
      <c r="B5" s="59"/>
      <c r="C5" s="59"/>
    </row>
    <row r="7" ht="15">
      <c r="A7" s="5" t="s">
        <v>51</v>
      </c>
    </row>
    <row r="8" spans="1:3" ht="15">
      <c r="A8" t="s">
        <v>47</v>
      </c>
      <c r="C8" s="9">
        <f>'PARTIDAS EL LIMON DULCE'!D50</f>
        <v>6177220</v>
      </c>
    </row>
    <row r="9" spans="1:3" ht="15.75" thickBot="1">
      <c r="A9" t="s">
        <v>48</v>
      </c>
      <c r="C9" s="11">
        <f>'PARTIDAS EL LIMON DULCE'!C61</f>
        <v>2333160</v>
      </c>
    </row>
    <row r="10" spans="1:3" ht="15.75" thickTop="1">
      <c r="A10" t="s">
        <v>49</v>
      </c>
      <c r="C10" s="9">
        <f>C8-C9</f>
        <v>3844060</v>
      </c>
    </row>
    <row r="11" ht="15">
      <c r="A11" s="5" t="s">
        <v>50</v>
      </c>
    </row>
    <row r="12" spans="1:3" ht="15.75" thickBot="1">
      <c r="A12" t="s">
        <v>52</v>
      </c>
      <c r="C12" s="11">
        <f>'PARTIDAS EL LIMON DULCE'!C27</f>
        <v>69900</v>
      </c>
    </row>
    <row r="13" spans="1:3" ht="15.75" thickTop="1">
      <c r="A13" t="s">
        <v>53</v>
      </c>
      <c r="C13" s="9">
        <f>C10-C12</f>
        <v>3774160</v>
      </c>
    </row>
    <row r="14" spans="1:3" ht="15.75" thickBot="1">
      <c r="A14" t="s">
        <v>54</v>
      </c>
      <c r="C14" s="11">
        <f>C13*31%</f>
        <v>1169989.6</v>
      </c>
    </row>
    <row r="15" spans="1:3" ht="15.75" thickTop="1">
      <c r="A15" t="s">
        <v>55</v>
      </c>
      <c r="C15" s="12">
        <f>C13-C14</f>
        <v>2604170.4</v>
      </c>
    </row>
    <row r="16" spans="1:3" ht="15.75" thickBot="1">
      <c r="A16" t="s">
        <v>58</v>
      </c>
      <c r="C16" s="11">
        <f>C15*5%</f>
        <v>130208.52</v>
      </c>
    </row>
    <row r="17" spans="1:3" ht="15.75" thickTop="1">
      <c r="A17" t="s">
        <v>59</v>
      </c>
      <c r="C17" s="9">
        <f>C15-C16</f>
        <v>2473961.88</v>
      </c>
    </row>
  </sheetData>
  <sheetProtection/>
  <mergeCells count="4">
    <mergeCell ref="A2:C2"/>
    <mergeCell ref="A3:C3"/>
    <mergeCell ref="A4:C4"/>
    <mergeCell ref="A5:C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saver</dc:creator>
  <cp:keywords/>
  <dc:description/>
  <cp:lastModifiedBy>Usuario</cp:lastModifiedBy>
  <cp:lastPrinted>2014-01-18T08:02:11Z</cp:lastPrinted>
  <dcterms:created xsi:type="dcterms:W3CDTF">2010-02-04T02:40:29Z</dcterms:created>
  <dcterms:modified xsi:type="dcterms:W3CDTF">2014-01-19T15:56:24Z</dcterms:modified>
  <cp:category/>
  <cp:version/>
  <cp:contentType/>
  <cp:contentStatus/>
</cp:coreProperties>
</file>