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 activeTab="5"/>
  </bookViews>
  <sheets>
    <sheet name="HojaTecnica1er Sem" sheetId="1" r:id="rId1"/>
    <sheet name="Anexos 1er. Sem" sheetId="2" r:id="rId2"/>
    <sheet name="jornalización" sheetId="7" r:id="rId3"/>
    <sheet name="HojaTecnica2o Sem" sheetId="3" r:id="rId4"/>
    <sheet name="Anexos 2o. Sem" sheetId="4" r:id="rId5"/>
    <sheet name="jornalizacion" sheetId="8" r:id="rId6"/>
  </sheets>
  <calcPr calcId="145621"/>
</workbook>
</file>

<file path=xl/calcChain.xml><?xml version="1.0" encoding="utf-8"?>
<calcChain xmlns="http://schemas.openxmlformats.org/spreadsheetml/2006/main">
  <c r="C71" i="8" l="1"/>
  <c r="D68" i="8"/>
  <c r="C67" i="8"/>
  <c r="E67" i="8"/>
  <c r="D47" i="8"/>
  <c r="D46" i="8"/>
  <c r="D45" i="8"/>
  <c r="D44" i="8"/>
  <c r="D69" i="8" l="1"/>
  <c r="D70" i="8" s="1"/>
  <c r="D71" i="8" l="1"/>
  <c r="E71" i="8" s="1"/>
  <c r="E69" i="8"/>
  <c r="D21" i="7"/>
  <c r="D20" i="7"/>
  <c r="E22" i="7" l="1"/>
  <c r="E23" i="7" s="1"/>
  <c r="D23" i="7"/>
  <c r="J27" i="3"/>
  <c r="F25" i="3"/>
  <c r="D25" i="3"/>
  <c r="M16" i="1"/>
  <c r="N14" i="1" s="1"/>
  <c r="F24" i="3"/>
  <c r="E24" i="3"/>
  <c r="D24" i="3"/>
  <c r="C24" i="3"/>
  <c r="B30" i="3"/>
  <c r="B27" i="3"/>
  <c r="B25" i="3"/>
  <c r="B12" i="3"/>
  <c r="B11" i="3"/>
  <c r="B27" i="1"/>
  <c r="J27" i="1" s="1"/>
  <c r="B12" i="1"/>
  <c r="B11" i="1"/>
  <c r="B25" i="1"/>
  <c r="B14" i="1"/>
  <c r="N15" i="1" l="1"/>
  <c r="H19" i="3"/>
  <c r="H19" i="1" l="1"/>
  <c r="C15" i="1"/>
  <c r="C17" i="1" s="1"/>
  <c r="F15" i="2"/>
  <c r="J18" i="4"/>
  <c r="E18" i="4"/>
  <c r="I16" i="4"/>
  <c r="H16" i="4"/>
  <c r="G16" i="4"/>
  <c r="F16" i="4"/>
  <c r="I15" i="4"/>
  <c r="I18" i="4" s="1"/>
  <c r="H15" i="4"/>
  <c r="H18" i="4" s="1"/>
  <c r="G15" i="4"/>
  <c r="G18" i="4" s="1"/>
  <c r="F15" i="4"/>
  <c r="F18" i="4" s="1"/>
  <c r="E12" i="4"/>
  <c r="J12" i="4" s="1"/>
  <c r="E11" i="4"/>
  <c r="I11" i="4" s="1"/>
  <c r="E10" i="4"/>
  <c r="J10" i="4" s="1"/>
  <c r="E9" i="4"/>
  <c r="I9" i="4" s="1"/>
  <c r="E8" i="4"/>
  <c r="E13" i="4" s="1"/>
  <c r="J19" i="3"/>
  <c r="D13" i="8" s="1"/>
  <c r="F29" i="3"/>
  <c r="D29" i="3"/>
  <c r="E29" i="3"/>
  <c r="C29" i="3"/>
  <c r="K30" i="3"/>
  <c r="H14" i="3"/>
  <c r="F16" i="3"/>
  <c r="D16" i="3"/>
  <c r="E16" i="3"/>
  <c r="C16" i="3"/>
  <c r="F15" i="3"/>
  <c r="F18" i="3" s="1"/>
  <c r="D15" i="3"/>
  <c r="D18" i="3" s="1"/>
  <c r="E15" i="3"/>
  <c r="E18" i="3" s="1"/>
  <c r="C15" i="3"/>
  <c r="G21" i="3"/>
  <c r="F21" i="3"/>
  <c r="D21" i="3"/>
  <c r="E21" i="3"/>
  <c r="C21" i="3"/>
  <c r="B21" i="3" s="1"/>
  <c r="G20" i="3"/>
  <c r="F20" i="3"/>
  <c r="D20" i="3"/>
  <c r="E20" i="3"/>
  <c r="E22" i="3" s="1"/>
  <c r="C20" i="3"/>
  <c r="I8" i="3"/>
  <c r="H12" i="3"/>
  <c r="H11" i="3"/>
  <c r="F10" i="3"/>
  <c r="D10" i="3"/>
  <c r="E10" i="3"/>
  <c r="C10" i="3"/>
  <c r="D34" i="1"/>
  <c r="D37" i="1" s="1"/>
  <c r="D6" i="3" s="1"/>
  <c r="D35" i="3" s="1"/>
  <c r="D38" i="3" s="1"/>
  <c r="D41" i="3" s="1"/>
  <c r="E34" i="1"/>
  <c r="E37" i="1" s="1"/>
  <c r="E6" i="3" s="1"/>
  <c r="E35" i="3" s="1"/>
  <c r="E38" i="3" s="1"/>
  <c r="E41" i="3" s="1"/>
  <c r="F34" i="1"/>
  <c r="F37" i="1" s="1"/>
  <c r="F6" i="3" s="1"/>
  <c r="F35" i="3" s="1"/>
  <c r="F38" i="3" s="1"/>
  <c r="F41" i="3" s="1"/>
  <c r="C34" i="1"/>
  <c r="C37" i="1" s="1"/>
  <c r="C6" i="3" s="1"/>
  <c r="D11" i="2"/>
  <c r="I11" i="2" s="1"/>
  <c r="D10" i="2"/>
  <c r="H10" i="2"/>
  <c r="D9" i="2"/>
  <c r="I9" i="2"/>
  <c r="E8" i="2"/>
  <c r="D8" i="2"/>
  <c r="G8" i="2" s="1"/>
  <c r="H8" i="2"/>
  <c r="D7" i="2"/>
  <c r="F7" i="2" s="1"/>
  <c r="I17" i="2"/>
  <c r="G26" i="1" s="1"/>
  <c r="G26" i="3"/>
  <c r="D17" i="2"/>
  <c r="H15" i="2"/>
  <c r="G15" i="2"/>
  <c r="E15" i="2"/>
  <c r="H14" i="2"/>
  <c r="H17" i="2" s="1"/>
  <c r="G14" i="2"/>
  <c r="G17" i="2"/>
  <c r="F14" i="2"/>
  <c r="F17" i="2" s="1"/>
  <c r="E14" i="2"/>
  <c r="E17" i="2" s="1"/>
  <c r="F16" i="1"/>
  <c r="D16" i="1"/>
  <c r="E16" i="1"/>
  <c r="C16" i="1"/>
  <c r="F15" i="1"/>
  <c r="F18" i="1" s="1"/>
  <c r="D15" i="1"/>
  <c r="D18" i="1" s="1"/>
  <c r="E15" i="1"/>
  <c r="E18" i="1" s="1"/>
  <c r="G21" i="1"/>
  <c r="F21" i="1"/>
  <c r="D21" i="1"/>
  <c r="E21" i="1"/>
  <c r="C21" i="1"/>
  <c r="G20" i="1"/>
  <c r="G23" i="1" s="1"/>
  <c r="F20" i="1"/>
  <c r="F23" i="1" s="1"/>
  <c r="D20" i="1"/>
  <c r="D23" i="1" s="1"/>
  <c r="E20" i="1"/>
  <c r="E23" i="1" s="1"/>
  <c r="C20" i="1"/>
  <c r="H12" i="1"/>
  <c r="H11" i="1"/>
  <c r="H10" i="1"/>
  <c r="F10" i="1"/>
  <c r="D10" i="1"/>
  <c r="E10" i="1"/>
  <c r="C10" i="1"/>
  <c r="B6" i="1"/>
  <c r="F9" i="1" s="1"/>
  <c r="B7" i="1"/>
  <c r="F13" i="1" s="1"/>
  <c r="F31" i="1"/>
  <c r="D31" i="1"/>
  <c r="E31" i="1"/>
  <c r="C31" i="1"/>
  <c r="I8" i="1"/>
  <c r="F8" i="4"/>
  <c r="G8" i="4"/>
  <c r="H8" i="4"/>
  <c r="I8" i="4"/>
  <c r="I13" i="4" s="1"/>
  <c r="J8" i="4"/>
  <c r="J13" i="4" s="1"/>
  <c r="F9" i="4"/>
  <c r="G9" i="4"/>
  <c r="H9" i="4"/>
  <c r="F11" i="4"/>
  <c r="G11" i="4"/>
  <c r="H11" i="4"/>
  <c r="H14" i="1"/>
  <c r="H13" i="4"/>
  <c r="G13" i="4"/>
  <c r="F13" i="4"/>
  <c r="D26" i="3"/>
  <c r="D26" i="1"/>
  <c r="I7" i="2"/>
  <c r="I12" i="2" s="1"/>
  <c r="G7" i="2"/>
  <c r="G12" i="2" s="1"/>
  <c r="F8" i="2"/>
  <c r="F12" i="2"/>
  <c r="E28" i="3" s="1"/>
  <c r="E10" i="2"/>
  <c r="F10" i="2"/>
  <c r="G10" i="2"/>
  <c r="E28" i="1"/>
  <c r="G28" i="3"/>
  <c r="G28" i="1"/>
  <c r="D17" i="1" l="1"/>
  <c r="C18" i="1"/>
  <c r="B10" i="3"/>
  <c r="H10" i="3" s="1"/>
  <c r="B20" i="3"/>
  <c r="C18" i="3"/>
  <c r="B18" i="3" s="1"/>
  <c r="B15" i="3"/>
  <c r="B16" i="3"/>
  <c r="B29" i="3"/>
  <c r="E17" i="3"/>
  <c r="F17" i="3"/>
  <c r="C23" i="1"/>
  <c r="B23" i="1" s="1"/>
  <c r="B20" i="1"/>
  <c r="B10" i="1"/>
  <c r="B21" i="1"/>
  <c r="C22" i="3"/>
  <c r="D22" i="3"/>
  <c r="G22" i="3"/>
  <c r="D17" i="3"/>
  <c r="C17" i="3"/>
  <c r="E23" i="3"/>
  <c r="F22" i="3"/>
  <c r="K25" i="3"/>
  <c r="K29" i="3"/>
  <c r="F23" i="3"/>
  <c r="G23" i="3"/>
  <c r="D23" i="3"/>
  <c r="D14" i="3" s="1"/>
  <c r="D46" i="1" s="1"/>
  <c r="C23" i="3"/>
  <c r="K15" i="3"/>
  <c r="K20" i="3"/>
  <c r="E14" i="3"/>
  <c r="E46" i="1" s="1"/>
  <c r="K16" i="3"/>
  <c r="G14" i="3"/>
  <c r="K21" i="3"/>
  <c r="J19" i="1"/>
  <c r="D31" i="7" s="1"/>
  <c r="K25" i="1"/>
  <c r="E24" i="1"/>
  <c r="D9" i="1"/>
  <c r="F17" i="1"/>
  <c r="K20" i="1"/>
  <c r="F24" i="1"/>
  <c r="K16" i="1"/>
  <c r="C13" i="1"/>
  <c r="E9" i="1"/>
  <c r="D24" i="1"/>
  <c r="C24" i="1"/>
  <c r="C9" i="1"/>
  <c r="K10" i="1"/>
  <c r="K21" i="1"/>
  <c r="D28" i="3"/>
  <c r="D28" i="1"/>
  <c r="B6" i="3"/>
  <c r="C9" i="3" s="1"/>
  <c r="C35" i="3"/>
  <c r="C38" i="3" s="1"/>
  <c r="C41" i="3" s="1"/>
  <c r="F14" i="3"/>
  <c r="F46" i="1" s="1"/>
  <c r="K23" i="1"/>
  <c r="K18" i="1"/>
  <c r="C26" i="1"/>
  <c r="C26" i="3"/>
  <c r="F26" i="3"/>
  <c r="F26" i="1"/>
  <c r="K18" i="3"/>
  <c r="C14" i="3"/>
  <c r="E26" i="3"/>
  <c r="E26" i="1"/>
  <c r="K15" i="1"/>
  <c r="D12" i="2"/>
  <c r="E7" i="2"/>
  <c r="E12" i="2" s="1"/>
  <c r="H7" i="2"/>
  <c r="H12" i="2" s="1"/>
  <c r="D13" i="1"/>
  <c r="C22" i="1"/>
  <c r="E22" i="1"/>
  <c r="D22" i="1"/>
  <c r="D14" i="1" s="1"/>
  <c r="F22" i="1"/>
  <c r="G22" i="1"/>
  <c r="G14" i="1" s="1"/>
  <c r="E17" i="1"/>
  <c r="E13" i="1"/>
  <c r="F8" i="1"/>
  <c r="F42" i="1" s="1"/>
  <c r="C46" i="1" l="1"/>
  <c r="B14" i="3"/>
  <c r="E19" i="1"/>
  <c r="E44" i="1" s="1"/>
  <c r="D43" i="1"/>
  <c r="B26" i="3"/>
  <c r="B23" i="3"/>
  <c r="B17" i="3"/>
  <c r="B22" i="3"/>
  <c r="K17" i="3"/>
  <c r="K22" i="3"/>
  <c r="B22" i="1"/>
  <c r="B26" i="1"/>
  <c r="B24" i="1"/>
  <c r="B9" i="1"/>
  <c r="B13" i="1"/>
  <c r="E19" i="3"/>
  <c r="E47" i="1" s="1"/>
  <c r="D19" i="3"/>
  <c r="D47" i="1" s="1"/>
  <c r="K23" i="3"/>
  <c r="K8" i="3"/>
  <c r="G19" i="1"/>
  <c r="G29" i="1" s="1"/>
  <c r="D19" i="1"/>
  <c r="D44" i="1" s="1"/>
  <c r="K24" i="1"/>
  <c r="H9" i="1"/>
  <c r="K17" i="1"/>
  <c r="F14" i="1"/>
  <c r="C8" i="1"/>
  <c r="C42" i="1" s="1"/>
  <c r="K8" i="1"/>
  <c r="E14" i="1"/>
  <c r="D8" i="1"/>
  <c r="D42" i="1" s="1"/>
  <c r="F28" i="3"/>
  <c r="F19" i="3" s="1"/>
  <c r="F47" i="1" s="1"/>
  <c r="F28" i="1"/>
  <c r="K26" i="3"/>
  <c r="F9" i="3"/>
  <c r="E9" i="3"/>
  <c r="D9" i="3"/>
  <c r="K22" i="1"/>
  <c r="C14" i="1"/>
  <c r="C28" i="1"/>
  <c r="C28" i="3"/>
  <c r="K26" i="1"/>
  <c r="H13" i="1"/>
  <c r="E8" i="1"/>
  <c r="E42" i="1" s="1"/>
  <c r="K19" i="1" l="1"/>
  <c r="B8" i="1"/>
  <c r="C43" i="1"/>
  <c r="E43" i="1"/>
  <c r="C19" i="1"/>
  <c r="C44" i="1" s="1"/>
  <c r="B28" i="1"/>
  <c r="B9" i="3"/>
  <c r="F43" i="1"/>
  <c r="G30" i="1"/>
  <c r="G7" i="3" s="1"/>
  <c r="D30" i="7"/>
  <c r="C19" i="3"/>
  <c r="B28" i="3"/>
  <c r="F19" i="1"/>
  <c r="K14" i="3"/>
  <c r="I28" i="3"/>
  <c r="I19" i="3" s="1"/>
  <c r="D12" i="8" s="1"/>
  <c r="D29" i="1"/>
  <c r="C29" i="1"/>
  <c r="H9" i="3"/>
  <c r="K14" i="1"/>
  <c r="E29" i="1"/>
  <c r="H8" i="1"/>
  <c r="E33" i="7" s="1"/>
  <c r="C47" i="1" l="1"/>
  <c r="E30" i="1"/>
  <c r="E32" i="1" s="1"/>
  <c r="E35" i="1" s="1"/>
  <c r="D28" i="7"/>
  <c r="C30" i="1"/>
  <c r="C32" i="1" s="1"/>
  <c r="C35" i="1" s="1"/>
  <c r="D26" i="7"/>
  <c r="F29" i="1"/>
  <c r="F44" i="1"/>
  <c r="D30" i="1"/>
  <c r="D32" i="1" s="1"/>
  <c r="D35" i="1" s="1"/>
  <c r="D27" i="7"/>
  <c r="K29" i="1"/>
  <c r="E32" i="7" s="1"/>
  <c r="E35" i="7" s="1"/>
  <c r="E38" i="1" l="1"/>
  <c r="E7" i="3" s="1"/>
  <c r="D38" i="1"/>
  <c r="D7" i="3" s="1"/>
  <c r="C38" i="1"/>
  <c r="C7" i="3" s="1"/>
  <c r="D36" i="1"/>
  <c r="D49" i="1"/>
  <c r="E40" i="7"/>
  <c r="F30" i="1"/>
  <c r="D29" i="7"/>
  <c r="D35" i="7" s="1"/>
  <c r="C36" i="1"/>
  <c r="C49" i="1"/>
  <c r="E39" i="7"/>
  <c r="E36" i="1"/>
  <c r="E49" i="1"/>
  <c r="E41" i="7"/>
  <c r="F32" i="1" l="1"/>
  <c r="F35" i="1" s="1"/>
  <c r="F38" i="1" s="1"/>
  <c r="F7" i="3" s="1"/>
  <c r="B7" i="3" l="1"/>
  <c r="F36" i="1"/>
  <c r="H36" i="1" s="1"/>
  <c r="F49" i="1"/>
  <c r="E42" i="7"/>
  <c r="G35" i="1"/>
  <c r="I35" i="1" s="1"/>
  <c r="C13" i="3" l="1"/>
  <c r="E13" i="3"/>
  <c r="E8" i="3" s="1"/>
  <c r="D13" i="3"/>
  <c r="D8" i="3" s="1"/>
  <c r="E43" i="7"/>
  <c r="F13" i="3"/>
  <c r="F8" i="3" s="1"/>
  <c r="H35" i="1"/>
  <c r="E61" i="8"/>
  <c r="F38" i="7"/>
  <c r="E48" i="7" l="1"/>
  <c r="E49" i="7" s="1"/>
  <c r="D47" i="7"/>
  <c r="D49" i="7" s="1"/>
  <c r="D32" i="3"/>
  <c r="D45" i="1"/>
  <c r="D48" i="1" s="1"/>
  <c r="D38" i="7"/>
  <c r="E44" i="7"/>
  <c r="E32" i="3"/>
  <c r="E45" i="1"/>
  <c r="E48" i="1" s="1"/>
  <c r="F32" i="3"/>
  <c r="F45" i="1"/>
  <c r="F48" i="1" s="1"/>
  <c r="B13" i="3"/>
  <c r="B8" i="3" s="1"/>
  <c r="C8" i="3"/>
  <c r="H13" i="3"/>
  <c r="H8" i="3" s="1"/>
  <c r="D11" i="8" s="1"/>
  <c r="K24" i="3"/>
  <c r="K19" i="3" s="1"/>
  <c r="K32" i="3" s="1"/>
  <c r="D14" i="8" s="1"/>
  <c r="B24" i="3"/>
  <c r="G19" i="3"/>
  <c r="B19" i="1"/>
  <c r="D15" i="8" l="1"/>
  <c r="G33" i="3"/>
  <c r="D62" i="8" s="1"/>
  <c r="G32" i="3"/>
  <c r="C10" i="8" s="1"/>
  <c r="B19" i="3"/>
  <c r="F33" i="3"/>
  <c r="C9" i="8"/>
  <c r="E33" i="3"/>
  <c r="C8" i="8"/>
  <c r="D44" i="7"/>
  <c r="D33" i="3"/>
  <c r="C7" i="8"/>
  <c r="C45" i="1"/>
  <c r="C48" i="1" s="1"/>
  <c r="C32" i="3"/>
  <c r="C49" i="3"/>
  <c r="C33" i="3" l="1"/>
  <c r="C6" i="8"/>
  <c r="C15" i="8" s="1"/>
  <c r="E15" i="8" s="1"/>
  <c r="E36" i="3"/>
  <c r="E39" i="3" s="1"/>
  <c r="D36" i="3"/>
  <c r="D39" i="3" s="1"/>
  <c r="F36" i="3"/>
  <c r="F39" i="3" s="1"/>
  <c r="F40" i="3" l="1"/>
  <c r="F50" i="1"/>
  <c r="F51" i="1" s="1"/>
  <c r="D43" i="8" s="1"/>
  <c r="D23" i="8"/>
  <c r="D40" i="3"/>
  <c r="D50" i="1"/>
  <c r="D51" i="1" s="1"/>
  <c r="D41" i="8" s="1"/>
  <c r="D21" i="8"/>
  <c r="E40" i="3"/>
  <c r="E50" i="1"/>
  <c r="E51" i="1" s="1"/>
  <c r="D42" i="8" s="1"/>
  <c r="D22" i="8"/>
  <c r="F42" i="3"/>
  <c r="D42" i="3"/>
  <c r="E42" i="3"/>
  <c r="C36" i="3"/>
  <c r="C39" i="3" s="1"/>
  <c r="C40" i="3" l="1"/>
  <c r="G39" i="3"/>
  <c r="I39" i="3" s="1"/>
  <c r="C50" i="1"/>
  <c r="C51" i="1" s="1"/>
  <c r="D40" i="8" s="1"/>
  <c r="D48" i="8" s="1"/>
  <c r="C50" i="3"/>
  <c r="C51" i="3" s="1"/>
  <c r="D20" i="8"/>
  <c r="C37" i="8"/>
  <c r="D58" i="8" s="1"/>
  <c r="D43" i="3"/>
  <c r="D44" i="3" s="1"/>
  <c r="C42" i="3"/>
  <c r="C38" i="8"/>
  <c r="D59" i="8" s="1"/>
  <c r="E43" i="3"/>
  <c r="E44" i="3" s="1"/>
  <c r="C39" i="8"/>
  <c r="D60" i="8" s="1"/>
  <c r="F43" i="3"/>
  <c r="F44" i="3" s="1"/>
  <c r="C54" i="8" l="1"/>
  <c r="D30" i="8"/>
  <c r="D31" i="8"/>
  <c r="C55" i="8"/>
  <c r="C56" i="8"/>
  <c r="D32" i="8"/>
  <c r="G42" i="3"/>
  <c r="E50" i="3"/>
  <c r="C43" i="3"/>
  <c r="G43" i="3" s="1"/>
  <c r="C36" i="8"/>
  <c r="D24" i="8"/>
  <c r="C19" i="8" s="1"/>
  <c r="H39" i="3"/>
  <c r="F61" i="8"/>
  <c r="G61" i="8" s="1"/>
  <c r="H40" i="3"/>
  <c r="D25" i="8" l="1"/>
  <c r="C44" i="3"/>
  <c r="D61" i="8"/>
  <c r="C25" i="8"/>
  <c r="C48" i="8"/>
  <c r="E48" i="8" s="1"/>
  <c r="D57" i="8"/>
  <c r="E25" i="8" l="1"/>
  <c r="D64" i="8"/>
  <c r="C53" i="8"/>
  <c r="C64" i="8" s="1"/>
  <c r="G44" i="3"/>
  <c r="D29" i="8"/>
  <c r="E64" i="8" l="1"/>
  <c r="D33" i="8"/>
  <c r="C28" i="8"/>
  <c r="C33" i="8" s="1"/>
  <c r="E33" i="8" l="1"/>
  <c r="I28" i="1"/>
</calcChain>
</file>

<file path=xl/comments1.xml><?xml version="1.0" encoding="utf-8"?>
<comments xmlns="http://schemas.openxmlformats.org/spreadsheetml/2006/main">
  <authors>
    <author>Usuario</author>
  </authors>
  <commentList>
    <comment ref="H10" authorId="0">
      <text>
        <r>
          <rPr>
            <sz val="9"/>
            <color indexed="81"/>
            <rFont val="Tahoma"/>
            <family val="2"/>
          </rPr>
          <t xml:space="preserve">No se compró sino se tomó del saldo de inventario del semestre anterior, tenía Q9,000 y se consumió Q6,000., todavía queda saldo para el 2014.
</t>
        </r>
      </text>
    </comment>
  </commentList>
</comments>
</file>

<file path=xl/sharedStrings.xml><?xml version="1.0" encoding="utf-8"?>
<sst xmlns="http://schemas.openxmlformats.org/spreadsheetml/2006/main" count="265" uniqueCount="142">
  <si>
    <t>HOJA DE COSTO DE PRODUCCIÓN</t>
  </si>
  <si>
    <t>Terneras Engorde</t>
  </si>
  <si>
    <t>Lechonas Engorde</t>
  </si>
  <si>
    <t>Gastos</t>
  </si>
  <si>
    <t>Conceptos</t>
  </si>
  <si>
    <t>Hato 20</t>
  </si>
  <si>
    <t>Hato 10</t>
  </si>
  <si>
    <t>Hato 21</t>
  </si>
  <si>
    <t>Hato 11</t>
  </si>
  <si>
    <t>Administración</t>
  </si>
  <si>
    <t>Inventario</t>
  </si>
  <si>
    <t>Total</t>
  </si>
  <si>
    <t>I. INSUMOS</t>
  </si>
  <si>
    <t>Concentrado</t>
  </si>
  <si>
    <t>Melaza</t>
  </si>
  <si>
    <t>Vitaminas</t>
  </si>
  <si>
    <t>Desinfectante</t>
  </si>
  <si>
    <t>Sal</t>
  </si>
  <si>
    <t>II. MANO DE OBRA</t>
  </si>
  <si>
    <t>Administrador</t>
  </si>
  <si>
    <t>Bonificación</t>
  </si>
  <si>
    <t>Prestaciones Laborales</t>
  </si>
  <si>
    <t>Cuota Patronal</t>
  </si>
  <si>
    <t>Vaqueros y Caporales</t>
  </si>
  <si>
    <t>III. GASTOS INDIRECTOS</t>
  </si>
  <si>
    <t>Honorarios del Veterinario</t>
  </si>
  <si>
    <t>Intereses Prestamo Compra Nuevos Hatos</t>
  </si>
  <si>
    <t>Agua y Energía Electrica</t>
  </si>
  <si>
    <t>Seguro Pecuario</t>
  </si>
  <si>
    <t>Depreciaciones</t>
  </si>
  <si>
    <t>No. De Animales</t>
  </si>
  <si>
    <t>Depre.</t>
  </si>
  <si>
    <t>Base</t>
  </si>
  <si>
    <t>%</t>
  </si>
  <si>
    <t>1er. Semestre</t>
  </si>
  <si>
    <t>ANEXO I: DEPRECIACIONES</t>
  </si>
  <si>
    <t>Ganado de Trabajo</t>
  </si>
  <si>
    <t>Establos y Caballerias</t>
  </si>
  <si>
    <t>Mobiliario y Equipo</t>
  </si>
  <si>
    <t>Triturapoda de Pasto</t>
  </si>
  <si>
    <t>Casa Patronal</t>
  </si>
  <si>
    <t>ANEXO II: AGUA Y ENERGIA ELECTRICA</t>
  </si>
  <si>
    <t>Equipo Pecuario</t>
  </si>
  <si>
    <t>"EL CABALLO LOCO, S.A."</t>
  </si>
  <si>
    <t>Concepto</t>
  </si>
  <si>
    <t>Terneras Engorde HATO 20</t>
  </si>
  <si>
    <t>Lechonas Engorde HATO 10</t>
  </si>
  <si>
    <t>Terneras Engorde HATO 21</t>
  </si>
  <si>
    <t>Lechonas Engorde HATO 11</t>
  </si>
  <si>
    <t>Gastos Administración</t>
  </si>
  <si>
    <t>Bancos</t>
  </si>
  <si>
    <t>Seguros Anticipados</t>
  </si>
  <si>
    <t>Depreciación Acumulada</t>
  </si>
  <si>
    <t>Costo por Hato</t>
  </si>
  <si>
    <t>TOTAL COSTOS Y GASTOS DEL SEMESTRE</t>
  </si>
  <si>
    <t>No. Animales</t>
  </si>
  <si>
    <t>Costo Unitario por Animal</t>
  </si>
  <si>
    <t>Costo Bajas por Hato</t>
  </si>
  <si>
    <t>Inventario Inicial Segundo Semestre (Unidades)</t>
  </si>
  <si>
    <t>Inventario Inicial Segundo Semestre (Costo)</t>
  </si>
  <si>
    <t>EL CABALLO LOCO, S.A.</t>
  </si>
  <si>
    <t>ANEXOS</t>
  </si>
  <si>
    <t>TOTAL COSTOS Y GASTOS TOTALES</t>
  </si>
  <si>
    <t>(-) 1 Bajas por Hato</t>
  </si>
  <si>
    <t>Cepillos de Raíz</t>
  </si>
  <si>
    <t>Otros Gastos de Administración y Ventas</t>
  </si>
  <si>
    <t>(-) 2 Bajas por Hato</t>
  </si>
  <si>
    <t>Precio de Venta (al doble de su costo)</t>
  </si>
  <si>
    <t>2o. Semestre</t>
  </si>
  <si>
    <t>P # 1</t>
  </si>
  <si>
    <t>Establos y Caballerías</t>
  </si>
  <si>
    <t>Mobiliario y Equipo Oficina</t>
  </si>
  <si>
    <t>Finca</t>
  </si>
  <si>
    <t>Trituradora de Pasto</t>
  </si>
  <si>
    <t>Ganado Vacuno Engorde Hato 20</t>
  </si>
  <si>
    <t>Ganado Porcino Engorde Hato 10</t>
  </si>
  <si>
    <t>Inventario de Medicina, Alimentos, Químicos y otros</t>
  </si>
  <si>
    <t>Caja y Bancos</t>
  </si>
  <si>
    <t>Cuentas por Pagar</t>
  </si>
  <si>
    <t>Préstamo Bancario</t>
  </si>
  <si>
    <t>Capital suscrito y pagado</t>
  </si>
  <si>
    <t>Partida de apertura del ejercicio</t>
  </si>
  <si>
    <t>P # 2</t>
  </si>
  <si>
    <t>Ganado Vacuno Engorde Hato 21</t>
  </si>
  <si>
    <t>Ganado Porcino Engorde Hato 11</t>
  </si>
  <si>
    <t>Compra de Hatos 21 y 11 de terneras y lechonas.</t>
  </si>
  <si>
    <t>P # 3</t>
  </si>
  <si>
    <t>Costo Producción Pecuario Hato 20</t>
  </si>
  <si>
    <t>Costo Producción Pecuario Hato 10</t>
  </si>
  <si>
    <t>Costo Producción Pecuario Hato 21</t>
  </si>
  <si>
    <t>Costo Producción Pecuario Hato 11</t>
  </si>
  <si>
    <t>P # 4</t>
  </si>
  <si>
    <t>Alzas y Bajas Ganado -Muertes-</t>
  </si>
  <si>
    <t>IVA por Pagar</t>
  </si>
  <si>
    <t>Registro de 1 muerte por hato al final primer semestre</t>
  </si>
  <si>
    <t>P # 16</t>
  </si>
  <si>
    <t>Pago IVA por 1 muertes por hato</t>
  </si>
  <si>
    <t>Ventas Hato 20</t>
  </si>
  <si>
    <t>Ventas Hato 10</t>
  </si>
  <si>
    <t>Ventas Hato 21</t>
  </si>
  <si>
    <t>Ventas Hato 11</t>
  </si>
  <si>
    <t>Costo de Ventas Hato 20</t>
  </si>
  <si>
    <t>Costo de Ventas Hato 10</t>
  </si>
  <si>
    <t>Costo de Ventas Hato 21</t>
  </si>
  <si>
    <t>Costo de Ventas Hato 11</t>
  </si>
  <si>
    <t>PARTIDAS DE CIERRE</t>
  </si>
  <si>
    <t>Perdidas y ganancias</t>
  </si>
  <si>
    <t>Registro de pérdidas y ganancias</t>
  </si>
  <si>
    <t>Resultado del Ejercicio</t>
  </si>
  <si>
    <t>Registro de la ganancia neta</t>
  </si>
  <si>
    <t>(Cifras expresadas en Quetzales)</t>
  </si>
  <si>
    <t>Partida # 1</t>
  </si>
  <si>
    <t>Partida # 2</t>
  </si>
  <si>
    <t>Partida # 3</t>
  </si>
  <si>
    <t>Partida # 4</t>
  </si>
  <si>
    <t>Partida # 5</t>
  </si>
  <si>
    <t>Partida # 6</t>
  </si>
  <si>
    <t>(Cifras Expresadas en Quetzales)</t>
  </si>
  <si>
    <t xml:space="preserve">JORNALIZACION PRIMER SEMESTRE </t>
  </si>
  <si>
    <t>PRIMER SEMESTRE</t>
  </si>
  <si>
    <t xml:space="preserve">SEGUNDO SEMESTRE </t>
  </si>
  <si>
    <t xml:space="preserve">Registro ventas del periodo </t>
  </si>
  <si>
    <t>SIN IVA</t>
  </si>
  <si>
    <t>CON IVA</t>
  </si>
  <si>
    <t>IVA</t>
  </si>
  <si>
    <t>Costo/total</t>
  </si>
  <si>
    <t>ANEXOS SEGUNDO SEMESTRE</t>
  </si>
  <si>
    <t>Inventario al final del año 2013 (Unidades)</t>
  </si>
  <si>
    <t>Inventario al final del año 2013 (Costo)</t>
  </si>
  <si>
    <t>JORNALIZACION SEGUNDO SEMESTRE 2013</t>
  </si>
  <si>
    <t>Gastos de Administración</t>
  </si>
  <si>
    <t>Depreciaciones acumuladas</t>
  </si>
  <si>
    <t>Seguros pagados anticipadamente</t>
  </si>
  <si>
    <t>Registro de los costos del primer semestre</t>
  </si>
  <si>
    <t>Gastos de admnistración</t>
  </si>
  <si>
    <t>Seguros pagados por anticipado</t>
  </si>
  <si>
    <t>Registro de 2 muertes por hato al final segundo semestre</t>
  </si>
  <si>
    <t>costo de producción acumulado</t>
  </si>
  <si>
    <t>Registro Costo de producción</t>
  </si>
  <si>
    <t xml:space="preserve">Registro del Costo de Ventas </t>
  </si>
  <si>
    <t>ISR por pagar ( 30% )</t>
  </si>
  <si>
    <t>Reserva legal ( 5%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</si>
</sst>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Q&quot;* #,##0.00_);_(&quot;Q&quot;* \(#,##0.00\);_(&quot;Q&quot;* &quot;-&quot;??_);_(@_)"/>
    <numFmt numFmtId="164" formatCode="&quot;Q&quot;#,##0.00"/>
    <numFmt numFmtId="165" formatCode="0.00_);[Red]\(0.00\)"/>
  </numFmts>
  <fonts count="4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b/>
      <sz val="9"/>
      <name val="Arial Black"/>
      <family val="2"/>
    </font>
    <font>
      <b/>
      <sz val="12"/>
      <name val="Arial Black"/>
      <family val="2"/>
    </font>
    <font>
      <sz val="11"/>
      <name val="Arial Black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b/>
      <sz val="11"/>
      <name val="Arial Black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name val="Arial Black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theme="1"/>
      </top>
      <bottom style="dotted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theme="1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44" fontId="2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12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9" fontId="2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44" fontId="29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328"/>
    <xf numFmtId="0" fontId="20" fillId="0" borderId="0" xfId="328" applyFont="1"/>
    <xf numFmtId="44" fontId="24" fillId="0" borderId="0" xfId="0" applyNumberFormat="1" applyFont="1" applyBorder="1"/>
    <xf numFmtId="0" fontId="24" fillId="0" borderId="0" xfId="0" applyFont="1" applyBorder="1"/>
    <xf numFmtId="44" fontId="26" fillId="0" borderId="0" xfId="0" applyNumberFormat="1" applyFont="1" applyBorder="1"/>
    <xf numFmtId="0" fontId="24" fillId="0" borderId="10" xfId="0" applyFont="1" applyBorder="1"/>
    <xf numFmtId="44" fontId="22" fillId="0" borderId="0" xfId="0" applyNumberFormat="1" applyFont="1" applyBorder="1"/>
    <xf numFmtId="0" fontId="23" fillId="0" borderId="0" xfId="0" applyFont="1" applyBorder="1"/>
    <xf numFmtId="49" fontId="22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4" fontId="23" fillId="0" borderId="0" xfId="0" applyNumberFormat="1" applyFont="1" applyBorder="1"/>
    <xf numFmtId="44" fontId="24" fillId="0" borderId="10" xfId="0" applyNumberFormat="1" applyFont="1" applyBorder="1"/>
    <xf numFmtId="49" fontId="22" fillId="0" borderId="0" xfId="0" applyNumberFormat="1" applyFont="1" applyBorder="1" applyAlignment="1">
      <alignment horizontal="center"/>
    </xf>
    <xf numFmtId="0" fontId="23" fillId="0" borderId="11" xfId="0" applyFont="1" applyBorder="1"/>
    <xf numFmtId="0" fontId="24" fillId="0" borderId="12" xfId="0" applyFont="1" applyBorder="1"/>
    <xf numFmtId="0" fontId="24" fillId="0" borderId="13" xfId="0" applyFont="1" applyBorder="1"/>
    <xf numFmtId="0" fontId="24" fillId="0" borderId="14" xfId="0" applyFont="1" applyBorder="1"/>
    <xf numFmtId="0" fontId="23" fillId="0" borderId="15" xfId="326" applyFont="1" applyBorder="1"/>
    <xf numFmtId="0" fontId="23" fillId="0" borderId="16" xfId="326" applyFont="1" applyBorder="1"/>
    <xf numFmtId="0" fontId="23" fillId="0" borderId="17" xfId="326" applyFont="1" applyBorder="1"/>
    <xf numFmtId="0" fontId="23" fillId="0" borderId="18" xfId="326" applyFont="1" applyBorder="1"/>
    <xf numFmtId="0" fontId="23" fillId="0" borderId="19" xfId="326" applyFont="1" applyBorder="1"/>
    <xf numFmtId="0" fontId="23" fillId="0" borderId="20" xfId="326" applyFont="1" applyBorder="1"/>
    <xf numFmtId="0" fontId="23" fillId="0" borderId="21" xfId="326" applyFont="1" applyBorder="1"/>
    <xf numFmtId="0" fontId="22" fillId="0" borderId="22" xfId="326" applyFont="1" applyBorder="1"/>
    <xf numFmtId="0" fontId="23" fillId="0" borderId="0" xfId="326" applyFont="1" applyBorder="1"/>
    <xf numFmtId="0" fontId="23" fillId="0" borderId="23" xfId="326" applyFont="1" applyBorder="1"/>
    <xf numFmtId="4" fontId="23" fillId="0" borderId="24" xfId="326" applyNumberFormat="1" applyFont="1" applyBorder="1"/>
    <xf numFmtId="0" fontId="23" fillId="0" borderId="22" xfId="326" applyFont="1" applyBorder="1"/>
    <xf numFmtId="4" fontId="23" fillId="0" borderId="0" xfId="326" applyNumberFormat="1" applyFont="1" applyBorder="1"/>
    <xf numFmtId="9" fontId="23" fillId="0" borderId="0" xfId="346" applyFont="1" applyBorder="1"/>
    <xf numFmtId="4" fontId="23" fillId="0" borderId="23" xfId="326" applyNumberFormat="1" applyFont="1" applyBorder="1"/>
    <xf numFmtId="4" fontId="23" fillId="0" borderId="20" xfId="326" applyNumberFormat="1" applyFont="1" applyBorder="1"/>
    <xf numFmtId="4" fontId="23" fillId="0" borderId="21" xfId="326" applyNumberFormat="1" applyFont="1" applyBorder="1"/>
    <xf numFmtId="4" fontId="22" fillId="0" borderId="0" xfId="326" applyNumberFormat="1" applyFont="1" applyBorder="1"/>
    <xf numFmtId="4" fontId="22" fillId="0" borderId="23" xfId="326" applyNumberFormat="1" applyFont="1" applyBorder="1"/>
    <xf numFmtId="9" fontId="22" fillId="0" borderId="0" xfId="346" applyFont="1" applyBorder="1"/>
    <xf numFmtId="0" fontId="23" fillId="0" borderId="25" xfId="326" applyFont="1" applyBorder="1" applyAlignment="1">
      <alignment wrapText="1"/>
    </xf>
    <xf numFmtId="0" fontId="28" fillId="0" borderId="0" xfId="0" applyFont="1"/>
    <xf numFmtId="0" fontId="27" fillId="0" borderId="0" xfId="0" applyFont="1"/>
    <xf numFmtId="41" fontId="23" fillId="0" borderId="0" xfId="0" applyNumberFormat="1" applyFont="1" applyBorder="1" applyAlignment="1">
      <alignment horizontal="center"/>
    </xf>
    <xf numFmtId="0" fontId="22" fillId="0" borderId="26" xfId="328" applyFont="1" applyBorder="1"/>
    <xf numFmtId="0" fontId="22" fillId="0" borderId="27" xfId="328" applyFont="1" applyBorder="1" applyAlignment="1">
      <alignment horizontal="center" wrapText="1"/>
    </xf>
    <xf numFmtId="0" fontId="23" fillId="24" borderId="28" xfId="333" applyFont="1" applyFill="1" applyBorder="1"/>
    <xf numFmtId="0" fontId="23" fillId="0" borderId="11" xfId="324" applyFont="1" applyFill="1" applyBorder="1"/>
    <xf numFmtId="0" fontId="24" fillId="0" borderId="11" xfId="0" applyFont="1" applyBorder="1"/>
    <xf numFmtId="44" fontId="26" fillId="0" borderId="10" xfId="0" applyNumberFormat="1" applyFont="1" applyBorder="1"/>
    <xf numFmtId="0" fontId="27" fillId="24" borderId="30" xfId="330" applyFont="1" applyFill="1" applyBorder="1"/>
    <xf numFmtId="0" fontId="22" fillId="0" borderId="27" xfId="328" applyFont="1" applyBorder="1" applyAlignment="1">
      <alignment horizontal="center"/>
    </xf>
    <xf numFmtId="0" fontId="23" fillId="0" borderId="0" xfId="327" applyFont="1"/>
    <xf numFmtId="44" fontId="23" fillId="0" borderId="0" xfId="311" applyFont="1"/>
    <xf numFmtId="0" fontId="22" fillId="0" borderId="0" xfId="335" applyFont="1"/>
    <xf numFmtId="0" fontId="23" fillId="0" borderId="0" xfId="335" applyFont="1"/>
    <xf numFmtId="44" fontId="23" fillId="0" borderId="0" xfId="311" applyFont="1" applyFill="1"/>
    <xf numFmtId="44" fontId="22" fillId="0" borderId="29" xfId="311" applyFont="1" applyBorder="1"/>
    <xf numFmtId="44" fontId="22" fillId="0" borderId="0" xfId="311" applyFont="1" applyBorder="1"/>
    <xf numFmtId="44" fontId="23" fillId="0" borderId="0" xfId="335" applyNumberFormat="1" applyFont="1"/>
    <xf numFmtId="44" fontId="22" fillId="0" borderId="29" xfId="311" applyFont="1" applyFill="1" applyBorder="1"/>
    <xf numFmtId="0" fontId="23" fillId="0" borderId="0" xfId="335" applyFont="1" applyFill="1"/>
    <xf numFmtId="0" fontId="22" fillId="25" borderId="26" xfId="0" applyFont="1" applyFill="1" applyBorder="1"/>
    <xf numFmtId="44" fontId="26" fillId="25" borderId="31" xfId="0" applyNumberFormat="1" applyFont="1" applyFill="1" applyBorder="1"/>
    <xf numFmtId="44" fontId="22" fillId="25" borderId="32" xfId="0" applyNumberFormat="1" applyFont="1" applyFill="1" applyBorder="1"/>
    <xf numFmtId="44" fontId="22" fillId="25" borderId="31" xfId="0" applyNumberFormat="1" applyFont="1" applyFill="1" applyBorder="1"/>
    <xf numFmtId="44" fontId="24" fillId="0" borderId="0" xfId="427" applyFont="1" applyBorder="1"/>
    <xf numFmtId="0" fontId="30" fillId="26" borderId="26" xfId="0" applyFont="1" applyFill="1" applyBorder="1"/>
    <xf numFmtId="44" fontId="31" fillId="26" borderId="31" xfId="0" applyNumberFormat="1" applyFont="1" applyFill="1" applyBorder="1"/>
    <xf numFmtId="44" fontId="32" fillId="26" borderId="32" xfId="0" applyNumberFormat="1" applyFont="1" applyFill="1" applyBorder="1"/>
    <xf numFmtId="44" fontId="32" fillId="26" borderId="31" xfId="0" applyNumberFormat="1" applyFont="1" applyFill="1" applyBorder="1"/>
    <xf numFmtId="44" fontId="26" fillId="0" borderId="33" xfId="0" applyNumberFormat="1" applyFont="1" applyBorder="1" applyAlignment="1">
      <alignment horizontal="center"/>
    </xf>
    <xf numFmtId="44" fontId="26" fillId="0" borderId="34" xfId="0" applyNumberFormat="1" applyFont="1" applyBorder="1" applyAlignment="1">
      <alignment horizontal="center"/>
    </xf>
    <xf numFmtId="44" fontId="26" fillId="0" borderId="35" xfId="0" applyNumberFormat="1" applyFont="1" applyBorder="1"/>
    <xf numFmtId="44" fontId="26" fillId="0" borderId="36" xfId="0" applyNumberFormat="1" applyFont="1" applyBorder="1"/>
    <xf numFmtId="0" fontId="33" fillId="0" borderId="28" xfId="0" applyFont="1" applyBorder="1"/>
    <xf numFmtId="0" fontId="33" fillId="0" borderId="44" xfId="0" applyFont="1" applyBorder="1"/>
    <xf numFmtId="49" fontId="33" fillId="0" borderId="43" xfId="329" applyNumberFormat="1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43" xfId="323" applyFont="1" applyBorder="1" applyAlignment="1">
      <alignment horizontal="center"/>
    </xf>
    <xf numFmtId="165" fontId="33" fillId="0" borderId="43" xfId="0" applyNumberFormat="1" applyFont="1" applyBorder="1" applyAlignment="1">
      <alignment horizontal="center"/>
    </xf>
    <xf numFmtId="4" fontId="33" fillId="0" borderId="46" xfId="329" applyNumberFormat="1" applyFont="1" applyBorder="1"/>
    <xf numFmtId="44" fontId="33" fillId="0" borderId="46" xfId="0" applyNumberFormat="1" applyFont="1" applyBorder="1" applyAlignment="1">
      <alignment horizontal="center"/>
    </xf>
    <xf numFmtId="0" fontId="33" fillId="0" borderId="46" xfId="323" applyFont="1" applyBorder="1"/>
    <xf numFmtId="0" fontId="33" fillId="0" borderId="46" xfId="0" applyFont="1" applyBorder="1"/>
    <xf numFmtId="165" fontId="33" fillId="0" borderId="46" xfId="0" applyNumberFormat="1" applyFont="1" applyBorder="1" applyAlignment="1">
      <alignment horizontal="center"/>
    </xf>
    <xf numFmtId="44" fontId="33" fillId="0" borderId="46" xfId="0" applyNumberFormat="1" applyFont="1" applyBorder="1"/>
    <xf numFmtId="4" fontId="23" fillId="0" borderId="46" xfId="332" applyNumberFormat="1" applyFont="1" applyBorder="1"/>
    <xf numFmtId="44" fontId="27" fillId="0" borderId="48" xfId="331" applyNumberFormat="1" applyFont="1" applyBorder="1"/>
    <xf numFmtId="44" fontId="27" fillId="0" borderId="49" xfId="331" applyNumberFormat="1" applyFont="1" applyBorder="1"/>
    <xf numFmtId="4" fontId="23" fillId="0" borderId="46" xfId="322" applyNumberFormat="1" applyFont="1" applyBorder="1"/>
    <xf numFmtId="4" fontId="20" fillId="0" borderId="46" xfId="322" applyNumberFormat="1" applyBorder="1"/>
    <xf numFmtId="0" fontId="30" fillId="26" borderId="27" xfId="0" applyFont="1" applyFill="1" applyBorder="1"/>
    <xf numFmtId="44" fontId="32" fillId="26" borderId="27" xfId="0" applyNumberFormat="1" applyFont="1" applyFill="1" applyBorder="1"/>
    <xf numFmtId="44" fontId="31" fillId="0" borderId="0" xfId="0" applyNumberFormat="1" applyFont="1" applyBorder="1"/>
    <xf numFmtId="0" fontId="32" fillId="27" borderId="37" xfId="0" applyFont="1" applyFill="1" applyBorder="1"/>
    <xf numFmtId="44" fontId="32" fillId="27" borderId="38" xfId="0" applyNumberFormat="1" applyFont="1" applyFill="1" applyBorder="1"/>
    <xf numFmtId="44" fontId="32" fillId="27" borderId="39" xfId="0" applyNumberFormat="1" applyFont="1" applyFill="1" applyBorder="1"/>
    <xf numFmtId="0" fontId="30" fillId="0" borderId="27" xfId="0" applyFont="1" applyBorder="1"/>
    <xf numFmtId="49" fontId="32" fillId="0" borderId="27" xfId="0" applyNumberFormat="1" applyFont="1" applyBorder="1" applyAlignment="1">
      <alignment horizontal="center" vertical="center"/>
    </xf>
    <xf numFmtId="44" fontId="34" fillId="0" borderId="0" xfId="0" applyNumberFormat="1" applyFont="1" applyBorder="1"/>
    <xf numFmtId="0" fontId="33" fillId="0" borderId="55" xfId="0" applyFont="1" applyBorder="1" applyAlignment="1">
      <alignment horizontal="left"/>
    </xf>
    <xf numFmtId="0" fontId="33" fillId="0" borderId="55" xfId="0" applyFont="1" applyBorder="1" applyAlignment="1">
      <alignment horizontal="center"/>
    </xf>
    <xf numFmtId="0" fontId="33" fillId="0" borderId="55" xfId="329" applyFont="1" applyBorder="1" applyAlignment="1">
      <alignment horizontal="center"/>
    </xf>
    <xf numFmtId="0" fontId="33" fillId="0" borderId="55" xfId="323" applyFont="1" applyBorder="1" applyAlignment="1">
      <alignment horizontal="center"/>
    </xf>
    <xf numFmtId="44" fontId="33" fillId="0" borderId="55" xfId="0" applyNumberFormat="1" applyFont="1" applyBorder="1" applyAlignment="1">
      <alignment horizontal="center"/>
    </xf>
    <xf numFmtId="4" fontId="33" fillId="0" borderId="55" xfId="329" applyNumberFormat="1" applyFont="1" applyBorder="1" applyAlignment="1">
      <alignment horizontal="center"/>
    </xf>
    <xf numFmtId="40" fontId="33" fillId="0" borderId="55" xfId="0" applyNumberFormat="1" applyFont="1" applyBorder="1" applyAlignment="1">
      <alignment horizontal="center"/>
    </xf>
    <xf numFmtId="0" fontId="27" fillId="0" borderId="55" xfId="330" applyFont="1" applyFill="1" applyBorder="1"/>
    <xf numFmtId="40" fontId="23" fillId="0" borderId="55" xfId="0" applyNumberFormat="1" applyFont="1" applyFill="1" applyBorder="1"/>
    <xf numFmtId="4" fontId="23" fillId="0" borderId="55" xfId="332" applyNumberFormat="1" applyFont="1" applyFill="1" applyBorder="1"/>
    <xf numFmtId="44" fontId="27" fillId="0" borderId="55" xfId="331" applyNumberFormat="1" applyFont="1" applyFill="1" applyBorder="1"/>
    <xf numFmtId="40" fontId="23" fillId="0" borderId="55" xfId="323" applyNumberFormat="1" applyFont="1" applyFill="1" applyBorder="1"/>
    <xf numFmtId="164" fontId="23" fillId="0" borderId="55" xfId="0" applyNumberFormat="1" applyFont="1" applyFill="1" applyBorder="1"/>
    <xf numFmtId="44" fontId="23" fillId="0" borderId="55" xfId="0" applyNumberFormat="1" applyFont="1" applyFill="1" applyBorder="1"/>
    <xf numFmtId="0" fontId="0" fillId="0" borderId="0" xfId="0" applyFill="1"/>
    <xf numFmtId="0" fontId="36" fillId="24" borderId="55" xfId="330" applyFont="1" applyFill="1" applyBorder="1"/>
    <xf numFmtId="0" fontId="32" fillId="0" borderId="55" xfId="333" applyFont="1" applyBorder="1"/>
    <xf numFmtId="40" fontId="32" fillId="0" borderId="55" xfId="0" applyNumberFormat="1" applyFont="1" applyBorder="1"/>
    <xf numFmtId="44" fontId="32" fillId="0" borderId="55" xfId="333" applyNumberFormat="1" applyFont="1" applyBorder="1"/>
    <xf numFmtId="44" fontId="32" fillId="0" borderId="55" xfId="0" applyNumberFormat="1" applyFont="1" applyBorder="1"/>
    <xf numFmtId="0" fontId="35" fillId="0" borderId="55" xfId="0" applyFont="1" applyBorder="1"/>
    <xf numFmtId="44" fontId="36" fillId="0" borderId="55" xfId="331" applyNumberFormat="1" applyFont="1" applyBorder="1"/>
    <xf numFmtId="40" fontId="36" fillId="0" borderId="55" xfId="331" applyNumberFormat="1" applyFont="1" applyBorder="1"/>
    <xf numFmtId="164" fontId="32" fillId="0" borderId="55" xfId="0" applyNumberFormat="1" applyFont="1" applyBorder="1"/>
    <xf numFmtId="0" fontId="32" fillId="0" borderId="54" xfId="328" applyFont="1" applyBorder="1" applyAlignment="1">
      <alignment horizontal="center"/>
    </xf>
    <xf numFmtId="0" fontId="32" fillId="0" borderId="54" xfId="328" applyFont="1" applyBorder="1" applyAlignment="1">
      <alignment horizontal="center" wrapText="1"/>
    </xf>
    <xf numFmtId="4" fontId="23" fillId="0" borderId="55" xfId="322" applyNumberFormat="1" applyFont="1" applyFill="1" applyBorder="1"/>
    <xf numFmtId="4" fontId="20" fillId="0" borderId="55" xfId="322" applyNumberFormat="1" applyFill="1" applyBorder="1"/>
    <xf numFmtId="44" fontId="23" fillId="0" borderId="55" xfId="323" applyNumberFormat="1" applyFont="1" applyFill="1" applyBorder="1"/>
    <xf numFmtId="44" fontId="24" fillId="0" borderId="55" xfId="0" applyNumberFormat="1" applyFont="1" applyFill="1" applyBorder="1"/>
    <xf numFmtId="0" fontId="23" fillId="0" borderId="55" xfId="333" applyFont="1" applyFill="1" applyBorder="1"/>
    <xf numFmtId="0" fontId="25" fillId="0" borderId="55" xfId="0" applyFont="1" applyFill="1" applyBorder="1"/>
    <xf numFmtId="40" fontId="32" fillId="0" borderId="55" xfId="333" applyNumberFormat="1" applyFont="1" applyBorder="1"/>
    <xf numFmtId="0" fontId="37" fillId="0" borderId="0" xfId="0" applyFont="1"/>
    <xf numFmtId="44" fontId="23" fillId="0" borderId="55" xfId="334" applyNumberFormat="1" applyFont="1" applyFill="1" applyBorder="1"/>
    <xf numFmtId="0" fontId="23" fillId="0" borderId="55" xfId="324" applyFont="1" applyFill="1" applyBorder="1"/>
    <xf numFmtId="44" fontId="23" fillId="0" borderId="55" xfId="333" applyNumberFormat="1" applyFont="1" applyFill="1" applyBorder="1"/>
    <xf numFmtId="0" fontId="24" fillId="0" borderId="55" xfId="0" applyFont="1" applyFill="1" applyBorder="1"/>
    <xf numFmtId="4" fontId="23" fillId="0" borderId="55" xfId="325" applyNumberFormat="1" applyFont="1" applyFill="1" applyBorder="1"/>
    <xf numFmtId="0" fontId="23" fillId="0" borderId="55" xfId="0" applyFont="1" applyFill="1" applyBorder="1"/>
    <xf numFmtId="0" fontId="23" fillId="0" borderId="56" xfId="324" applyFont="1" applyFill="1" applyBorder="1"/>
    <xf numFmtId="40" fontId="23" fillId="0" borderId="56" xfId="0" applyNumberFormat="1" applyFont="1" applyFill="1" applyBorder="1"/>
    <xf numFmtId="44" fontId="23" fillId="0" borderId="56" xfId="333" applyNumberFormat="1" applyFont="1" applyFill="1" applyBorder="1"/>
    <xf numFmtId="44" fontId="23" fillId="0" borderId="56" xfId="0" applyNumberFormat="1" applyFont="1" applyFill="1" applyBorder="1"/>
    <xf numFmtId="44" fontId="24" fillId="0" borderId="56" xfId="0" applyNumberFormat="1" applyFont="1" applyFill="1" applyBorder="1"/>
    <xf numFmtId="0" fontId="36" fillId="24" borderId="11" xfId="330" applyFont="1" applyFill="1" applyBorder="1"/>
    <xf numFmtId="44" fontId="36" fillId="0" borderId="50" xfId="331" applyNumberFormat="1" applyFont="1" applyBorder="1"/>
    <xf numFmtId="164" fontId="30" fillId="0" borderId="50" xfId="0" applyNumberFormat="1" applyFont="1" applyBorder="1"/>
    <xf numFmtId="0" fontId="32" fillId="0" borderId="45" xfId="333" applyFont="1" applyBorder="1"/>
    <xf numFmtId="44" fontId="32" fillId="0" borderId="51" xfId="333" applyNumberFormat="1" applyFont="1" applyBorder="1"/>
    <xf numFmtId="44" fontId="32" fillId="0" borderId="51" xfId="0" applyNumberFormat="1" applyFont="1" applyBorder="1"/>
    <xf numFmtId="0" fontId="32" fillId="0" borderId="28" xfId="333" applyFont="1" applyBorder="1"/>
    <xf numFmtId="40" fontId="32" fillId="0" borderId="51" xfId="333" applyNumberFormat="1" applyFont="1" applyBorder="1"/>
    <xf numFmtId="0" fontId="32" fillId="27" borderId="58" xfId="0" applyFont="1" applyFill="1" applyBorder="1"/>
    <xf numFmtId="40" fontId="23" fillId="0" borderId="48" xfId="0" applyNumberFormat="1" applyFont="1" applyBorder="1"/>
    <xf numFmtId="40" fontId="23" fillId="0" borderId="46" xfId="0" applyNumberFormat="1" applyFont="1" applyBorder="1"/>
    <xf numFmtId="40" fontId="36" fillId="0" borderId="50" xfId="331" applyNumberFormat="1" applyFont="1" applyBorder="1"/>
    <xf numFmtId="40" fontId="32" fillId="0" borderId="50" xfId="0" applyNumberFormat="1" applyFont="1" applyBorder="1"/>
    <xf numFmtId="40" fontId="23" fillId="0" borderId="48" xfId="323" applyNumberFormat="1" applyFont="1" applyBorder="1"/>
    <xf numFmtId="40" fontId="23" fillId="0" borderId="49" xfId="0" applyNumberFormat="1" applyFont="1" applyBorder="1"/>
    <xf numFmtId="40" fontId="32" fillId="0" borderId="51" xfId="0" applyNumberFormat="1" applyFont="1" applyBorder="1"/>
    <xf numFmtId="40" fontId="30" fillId="0" borderId="51" xfId="0" applyNumberFormat="1" applyFont="1" applyBorder="1"/>
    <xf numFmtId="40" fontId="23" fillId="0" borderId="46" xfId="323" applyNumberFormat="1" applyFont="1" applyBorder="1"/>
    <xf numFmtId="40" fontId="24" fillId="0" borderId="46" xfId="0" applyNumberFormat="1" applyFont="1" applyBorder="1"/>
    <xf numFmtId="40" fontId="25" fillId="0" borderId="46" xfId="0" applyNumberFormat="1" applyFont="1" applyBorder="1"/>
    <xf numFmtId="40" fontId="23" fillId="0" borderId="46" xfId="334" applyNumberFormat="1" applyFont="1" applyBorder="1"/>
    <xf numFmtId="40" fontId="23" fillId="0" borderId="46" xfId="322" applyNumberFormat="1" applyFont="1" applyBorder="1"/>
    <xf numFmtId="40" fontId="23" fillId="0" borderId="46" xfId="333" applyNumberFormat="1" applyFont="1" applyBorder="1"/>
    <xf numFmtId="40" fontId="23" fillId="0" borderId="46" xfId="325" applyNumberFormat="1" applyFont="1" applyBorder="1"/>
    <xf numFmtId="40" fontId="23" fillId="0" borderId="48" xfId="0" applyNumberFormat="1" applyFont="1" applyFill="1" applyBorder="1"/>
    <xf numFmtId="40" fontId="23" fillId="0" borderId="47" xfId="333" applyNumberFormat="1" applyFont="1" applyFill="1" applyBorder="1"/>
    <xf numFmtId="40" fontId="23" fillId="0" borderId="47" xfId="0" applyNumberFormat="1" applyFont="1" applyFill="1" applyBorder="1"/>
    <xf numFmtId="40" fontId="24" fillId="0" borderId="47" xfId="0" applyNumberFormat="1" applyFont="1" applyFill="1" applyBorder="1"/>
    <xf numFmtId="40" fontId="23" fillId="0" borderId="46" xfId="0" applyNumberFormat="1" applyFont="1" applyFill="1" applyBorder="1"/>
    <xf numFmtId="0" fontId="23" fillId="0" borderId="52" xfId="333" applyFont="1" applyFill="1" applyBorder="1"/>
    <xf numFmtId="40" fontId="23" fillId="0" borderId="53" xfId="333" applyNumberFormat="1" applyFont="1" applyFill="1" applyBorder="1"/>
    <xf numFmtId="40" fontId="23" fillId="0" borderId="53" xfId="0" applyNumberFormat="1" applyFont="1" applyFill="1" applyBorder="1"/>
    <xf numFmtId="40" fontId="23" fillId="0" borderId="59" xfId="0" applyNumberFormat="1" applyFont="1" applyFill="1" applyBorder="1"/>
    <xf numFmtId="44" fontId="0" fillId="0" borderId="0" xfId="0" applyNumberFormat="1"/>
    <xf numFmtId="165" fontId="26" fillId="0" borderId="60" xfId="0" applyNumberFormat="1" applyFont="1" applyBorder="1"/>
    <xf numFmtId="165" fontId="26" fillId="0" borderId="10" xfId="0" applyNumberFormat="1" applyFont="1" applyBorder="1"/>
    <xf numFmtId="0" fontId="23" fillId="28" borderId="0" xfId="335" applyFont="1" applyFill="1"/>
    <xf numFmtId="0" fontId="23" fillId="28" borderId="0" xfId="327" applyFont="1" applyFill="1" applyBorder="1"/>
    <xf numFmtId="0" fontId="23" fillId="0" borderId="0" xfId="335" applyFont="1" applyAlignment="1">
      <alignment horizontal="right"/>
    </xf>
    <xf numFmtId="40" fontId="22" fillId="0" borderId="10" xfId="0" applyNumberFormat="1" applyFont="1" applyBorder="1"/>
    <xf numFmtId="44" fontId="38" fillId="0" borderId="55" xfId="333" applyNumberFormat="1" applyFont="1" applyBorder="1"/>
    <xf numFmtId="40" fontId="32" fillId="0" borderId="27" xfId="333" applyNumberFormat="1" applyFont="1" applyBorder="1"/>
    <xf numFmtId="40" fontId="0" fillId="0" borderId="0" xfId="0" applyNumberFormat="1"/>
    <xf numFmtId="40" fontId="39" fillId="0" borderId="61" xfId="0" applyNumberFormat="1" applyFont="1" applyBorder="1"/>
    <xf numFmtId="40" fontId="0" fillId="0" borderId="61" xfId="0" applyNumberFormat="1" applyBorder="1"/>
    <xf numFmtId="40" fontId="0" fillId="28" borderId="61" xfId="0" applyNumberFormat="1" applyFill="1" applyBorder="1"/>
    <xf numFmtId="44" fontId="0" fillId="26" borderId="61" xfId="0" applyNumberFormat="1" applyFill="1" applyBorder="1"/>
    <xf numFmtId="0" fontId="30" fillId="0" borderId="0" xfId="335" applyFont="1" applyAlignment="1">
      <alignment horizontal="right"/>
    </xf>
    <xf numFmtId="0" fontId="30" fillId="0" borderId="0" xfId="327" applyFont="1"/>
    <xf numFmtId="44" fontId="30" fillId="0" borderId="0" xfId="311" applyFont="1"/>
    <xf numFmtId="0" fontId="30" fillId="0" borderId="0" xfId="335" applyFont="1"/>
    <xf numFmtId="40" fontId="23" fillId="0" borderId="0" xfId="0" applyNumberFormat="1" applyFont="1" applyBorder="1"/>
    <xf numFmtId="44" fontId="26" fillId="0" borderId="62" xfId="0" applyNumberFormat="1" applyFont="1" applyBorder="1"/>
    <xf numFmtId="40" fontId="26" fillId="0" borderId="61" xfId="0" applyNumberFormat="1" applyFont="1" applyBorder="1"/>
    <xf numFmtId="0" fontId="23" fillId="29" borderId="0" xfId="335" applyFont="1" applyFill="1"/>
    <xf numFmtId="44" fontId="23" fillId="29" borderId="0" xfId="311" applyFont="1" applyFill="1"/>
    <xf numFmtId="0" fontId="23" fillId="29" borderId="0" xfId="327" applyFont="1" applyFill="1"/>
    <xf numFmtId="44" fontId="0" fillId="0" borderId="0" xfId="427" applyFont="1"/>
    <xf numFmtId="40" fontId="0" fillId="30" borderId="61" xfId="0" applyNumberFormat="1" applyFill="1" applyBorder="1"/>
    <xf numFmtId="0" fontId="22" fillId="30" borderId="26" xfId="0" applyFont="1" applyFill="1" applyBorder="1"/>
    <xf numFmtId="44" fontId="26" fillId="30" borderId="31" xfId="0" applyNumberFormat="1" applyFont="1" applyFill="1" applyBorder="1"/>
    <xf numFmtId="44" fontId="22" fillId="30" borderId="32" xfId="0" applyNumberFormat="1" applyFont="1" applyFill="1" applyBorder="1"/>
    <xf numFmtId="44" fontId="22" fillId="30" borderId="31" xfId="0" applyNumberFormat="1" applyFont="1" applyFill="1" applyBorder="1"/>
    <xf numFmtId="0" fontId="32" fillId="30" borderId="40" xfId="0" applyFont="1" applyFill="1" applyBorder="1"/>
    <xf numFmtId="0" fontId="32" fillId="30" borderId="57" xfId="0" applyFont="1" applyFill="1" applyBorder="1"/>
    <xf numFmtId="44" fontId="32" fillId="30" borderId="41" xfId="0" applyNumberFormat="1" applyFont="1" applyFill="1" applyBorder="1"/>
    <xf numFmtId="44" fontId="32" fillId="30" borderId="42" xfId="0" applyNumberFormat="1" applyFont="1" applyFill="1" applyBorder="1"/>
    <xf numFmtId="44" fontId="26" fillId="28" borderId="61" xfId="0" applyNumberFormat="1" applyFont="1" applyFill="1" applyBorder="1"/>
    <xf numFmtId="0" fontId="30" fillId="26" borderId="0" xfId="335" applyFont="1" applyFill="1"/>
    <xf numFmtId="0" fontId="41" fillId="26" borderId="0" xfId="335" applyFont="1" applyFill="1"/>
    <xf numFmtId="0" fontId="30" fillId="26" borderId="0" xfId="327" applyFont="1" applyFill="1" applyBorder="1"/>
    <xf numFmtId="0" fontId="22" fillId="0" borderId="0" xfId="327" applyFont="1" applyAlignment="1">
      <alignment horizontal="center"/>
    </xf>
    <xf numFmtId="0" fontId="22" fillId="0" borderId="0" xfId="335" applyFont="1" applyAlignment="1">
      <alignment horizontal="center"/>
    </xf>
    <xf numFmtId="40" fontId="0" fillId="0" borderId="61" xfId="0" applyNumberFormat="1" applyBorder="1" applyAlignment="1">
      <alignment horizontal="center"/>
    </xf>
    <xf numFmtId="0" fontId="23" fillId="0" borderId="11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2" fillId="0" borderId="0" xfId="328" applyFont="1" applyAlignment="1">
      <alignment horizontal="center"/>
    </xf>
    <xf numFmtId="0" fontId="23" fillId="0" borderId="0" xfId="328" applyFont="1" applyAlignment="1">
      <alignment horizontal="center"/>
    </xf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335" applyFont="1" applyFill="1" applyAlignment="1">
      <alignment horizontal="center"/>
    </xf>
    <xf numFmtId="0" fontId="23" fillId="0" borderId="0" xfId="327" applyFont="1" applyFill="1"/>
    <xf numFmtId="0" fontId="23" fillId="0" borderId="0" xfId="335" applyFont="1" applyFill="1" applyAlignment="1">
      <alignment horizontal="right"/>
    </xf>
  </cellXfs>
  <cellStyles count="428">
    <cellStyle name="20% - Énfasis1 10" xfId="1"/>
    <cellStyle name="20% - Énfasis1 11" xfId="2"/>
    <cellStyle name="20% - Énfasis1 2" xfId="3"/>
    <cellStyle name="20% - Énfasis1 3" xfId="4"/>
    <cellStyle name="20% - Énfasis1 4" xfId="5"/>
    <cellStyle name="20% - Énfasis1 5" xfId="6"/>
    <cellStyle name="20% - Énfasis1 6" xfId="7"/>
    <cellStyle name="20% - Énfasis1 7" xfId="8"/>
    <cellStyle name="20% - Énfasis1 8" xfId="9"/>
    <cellStyle name="20% - Énfasis1 9" xfId="10"/>
    <cellStyle name="20% - Énfasis2 10" xfId="11"/>
    <cellStyle name="20% - Énfasis2 11" xfId="12"/>
    <cellStyle name="20% - Énfasis2 2" xfId="13"/>
    <cellStyle name="20% - Énfasis2 3" xfId="14"/>
    <cellStyle name="20% - Énfasis2 4" xfId="15"/>
    <cellStyle name="20% - Énfasis2 5" xfId="16"/>
    <cellStyle name="20% - Énfasis2 6" xfId="17"/>
    <cellStyle name="20% - Énfasis2 7" xfId="18"/>
    <cellStyle name="20% - Énfasis2 8" xfId="19"/>
    <cellStyle name="20% - Énfasis2 9" xfId="20"/>
    <cellStyle name="20% - Énfasis3 10" xfId="21"/>
    <cellStyle name="20% - Énfasis3 11" xfId="22"/>
    <cellStyle name="20% - Énfasis3 2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3 8" xfId="29"/>
    <cellStyle name="20% - Énfasis3 9" xfId="30"/>
    <cellStyle name="20% - Énfasis4 10" xfId="31"/>
    <cellStyle name="20% - Énfasis4 11" xfId="32"/>
    <cellStyle name="20% - Énfasis4 2" xfId="33"/>
    <cellStyle name="20% - Énfasis4 3" xfId="34"/>
    <cellStyle name="20% - Énfasis4 4" xfId="35"/>
    <cellStyle name="20% - Énfasis4 5" xfId="36"/>
    <cellStyle name="20% - Énfasis4 6" xfId="37"/>
    <cellStyle name="20% - Énfasis4 7" xfId="38"/>
    <cellStyle name="20% - Énfasis4 8" xfId="39"/>
    <cellStyle name="20% - Énfasis4 9" xfId="40"/>
    <cellStyle name="20% - Énfasis5 10" xfId="41"/>
    <cellStyle name="20% - Énfasis5 11" xfId="42"/>
    <cellStyle name="20% - Énfasis5 2" xfId="43"/>
    <cellStyle name="20% - Énfasis5 3" xfId="44"/>
    <cellStyle name="20% - Énfasis5 4" xfId="45"/>
    <cellStyle name="20% - Énfasis5 5" xfId="46"/>
    <cellStyle name="20% - Énfasis5 6" xfId="47"/>
    <cellStyle name="20% - Énfasis5 7" xfId="48"/>
    <cellStyle name="20% - Énfasis5 8" xfId="49"/>
    <cellStyle name="20% - Énfasis5 9" xfId="50"/>
    <cellStyle name="20% - Énfasis6 10" xfId="51"/>
    <cellStyle name="20% - Énfasis6 11" xfId="52"/>
    <cellStyle name="20% - Énfasis6 2" xfId="53"/>
    <cellStyle name="20% - Énfasis6 3" xfId="54"/>
    <cellStyle name="20% - Énfasis6 4" xfId="55"/>
    <cellStyle name="20% - Énfasis6 5" xfId="56"/>
    <cellStyle name="20% - Énfasis6 6" xfId="57"/>
    <cellStyle name="20% - Énfasis6 7" xfId="58"/>
    <cellStyle name="20% - Énfasis6 8" xfId="59"/>
    <cellStyle name="20% - Énfasis6 9" xfId="60"/>
    <cellStyle name="40% - Énfasis1 10" xfId="61"/>
    <cellStyle name="40% - Énfasis1 11" xfId="62"/>
    <cellStyle name="40% - Énfasis1 2" xfId="63"/>
    <cellStyle name="40% - Énfasis1 3" xfId="64"/>
    <cellStyle name="40% - Énfasis1 4" xfId="65"/>
    <cellStyle name="40% - Énfasis1 5" xfId="66"/>
    <cellStyle name="40% - Énfasis1 6" xfId="67"/>
    <cellStyle name="40% - Énfasis1 7" xfId="68"/>
    <cellStyle name="40% - Énfasis1 8" xfId="69"/>
    <cellStyle name="40% - Énfasis1 9" xfId="70"/>
    <cellStyle name="40% - Énfasis2 10" xfId="71"/>
    <cellStyle name="40% - Énfasis2 11" xfId="72"/>
    <cellStyle name="40% - Énfasis2 2" xfId="73"/>
    <cellStyle name="40% - Énfasis2 3" xfId="74"/>
    <cellStyle name="40% - Énfasis2 4" xfId="75"/>
    <cellStyle name="40% - Énfasis2 5" xfId="76"/>
    <cellStyle name="40% - Énfasis2 6" xfId="77"/>
    <cellStyle name="40% - Énfasis2 7" xfId="78"/>
    <cellStyle name="40% - Énfasis2 8" xfId="79"/>
    <cellStyle name="40% - Énfasis2 9" xfId="80"/>
    <cellStyle name="40% - Énfasis3 10" xfId="81"/>
    <cellStyle name="40% - Énfasis3 11" xfId="82"/>
    <cellStyle name="40% - Énfasis3 2" xfId="83"/>
    <cellStyle name="40% - Énfasis3 3" xfId="84"/>
    <cellStyle name="40% - Énfasis3 4" xfId="85"/>
    <cellStyle name="40% - Énfasis3 5" xfId="86"/>
    <cellStyle name="40% - Énfasis3 6" xfId="87"/>
    <cellStyle name="40% - Énfasis3 7" xfId="88"/>
    <cellStyle name="40% - Énfasis3 8" xfId="89"/>
    <cellStyle name="40% - Énfasis3 9" xfId="90"/>
    <cellStyle name="40% - Énfasis4 10" xfId="91"/>
    <cellStyle name="40% - Énfasis4 11" xfId="92"/>
    <cellStyle name="40% - Énfasis4 2" xfId="93"/>
    <cellStyle name="40% - Énfasis4 3" xfId="94"/>
    <cellStyle name="40% - Énfasis4 4" xfId="95"/>
    <cellStyle name="40% - Énfasis4 5" xfId="96"/>
    <cellStyle name="40% - Énfasis4 6" xfId="97"/>
    <cellStyle name="40% - Énfasis4 7" xfId="98"/>
    <cellStyle name="40% - Énfasis4 8" xfId="99"/>
    <cellStyle name="40% - Énfasis4 9" xfId="100"/>
    <cellStyle name="40% - Énfasis5 10" xfId="101"/>
    <cellStyle name="40% - Énfasis5 11" xfId="102"/>
    <cellStyle name="40% - Énfasis5 2" xfId="103"/>
    <cellStyle name="40% - Énfasis5 3" xfId="104"/>
    <cellStyle name="40% - Énfasis5 4" xfId="105"/>
    <cellStyle name="40% - Énfasis5 5" xfId="106"/>
    <cellStyle name="40% - Énfasis5 6" xfId="107"/>
    <cellStyle name="40% - Énfasis5 7" xfId="108"/>
    <cellStyle name="40% - Énfasis5 8" xfId="109"/>
    <cellStyle name="40% - Énfasis5 9" xfId="110"/>
    <cellStyle name="40% - Énfasis6 10" xfId="111"/>
    <cellStyle name="40% - Énfasis6 11" xfId="112"/>
    <cellStyle name="40% - Énfasis6 2" xfId="113"/>
    <cellStyle name="40% - Énfasis6 3" xfId="114"/>
    <cellStyle name="40% - Énfasis6 4" xfId="115"/>
    <cellStyle name="40% - Énfasis6 5" xfId="116"/>
    <cellStyle name="40% - Énfasis6 6" xfId="117"/>
    <cellStyle name="40% - Énfasis6 7" xfId="118"/>
    <cellStyle name="40% - Énfasis6 8" xfId="119"/>
    <cellStyle name="40% - Énfasis6 9" xfId="120"/>
    <cellStyle name="60% - Énfasis1 10" xfId="121"/>
    <cellStyle name="60% - Énfasis1 11" xfId="122"/>
    <cellStyle name="60% - Énfasis1 2" xfId="123"/>
    <cellStyle name="60% - Énfasis1 3" xfId="124"/>
    <cellStyle name="60% - Énfasis1 4" xfId="125"/>
    <cellStyle name="60% - Énfasis1 5" xfId="126"/>
    <cellStyle name="60% - Énfasis1 6" xfId="127"/>
    <cellStyle name="60% - Énfasis1 7" xfId="128"/>
    <cellStyle name="60% - Énfasis1 8" xfId="129"/>
    <cellStyle name="60% - Énfasis1 9" xfId="130"/>
    <cellStyle name="60% - Énfasis2 10" xfId="131"/>
    <cellStyle name="60% - Énfasis2 11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 10" xfId="141"/>
    <cellStyle name="60% - Énfasis3 11" xfId="142"/>
    <cellStyle name="60% - Énfasis3 2" xfId="143"/>
    <cellStyle name="60% - Énfasis3 3" xfId="144"/>
    <cellStyle name="60% - Énfasis3 4" xfId="145"/>
    <cellStyle name="60% - Énfasis3 5" xfId="146"/>
    <cellStyle name="60% - Énfasis3 6" xfId="147"/>
    <cellStyle name="60% - Énfasis3 7" xfId="148"/>
    <cellStyle name="60% - Énfasis3 8" xfId="149"/>
    <cellStyle name="60% - Énfasis3 9" xfId="150"/>
    <cellStyle name="60% - Énfasis4 10" xfId="151"/>
    <cellStyle name="60% - Énfasis4 11" xfId="152"/>
    <cellStyle name="60% - Énfasis4 2" xfId="153"/>
    <cellStyle name="60% - Énfasis4 3" xfId="154"/>
    <cellStyle name="60% - Énfasis4 4" xfId="155"/>
    <cellStyle name="60% - Énfasis4 5" xfId="156"/>
    <cellStyle name="60% - Énfasis4 6" xfId="157"/>
    <cellStyle name="60% - Énfasis4 7" xfId="158"/>
    <cellStyle name="60% - Énfasis4 8" xfId="159"/>
    <cellStyle name="60% - Énfasis4 9" xfId="160"/>
    <cellStyle name="60% - Énfasis5 10" xfId="161"/>
    <cellStyle name="60% - Énfasis5 11" xfId="162"/>
    <cellStyle name="60% - Énfasis5 2" xfId="163"/>
    <cellStyle name="60% - Énfasis5 3" xfId="164"/>
    <cellStyle name="60% - Énfasis5 4" xfId="165"/>
    <cellStyle name="60% - Énfasis5 5" xfId="166"/>
    <cellStyle name="60% - Énfasis5 6" xfId="167"/>
    <cellStyle name="60% - Énfasis5 7" xfId="168"/>
    <cellStyle name="60% - Énfasis5 8" xfId="169"/>
    <cellStyle name="60% - Énfasis5 9" xfId="170"/>
    <cellStyle name="60% - Énfasis6 10" xfId="171"/>
    <cellStyle name="60% - Énfasis6 11" xfId="172"/>
    <cellStyle name="60% - Énfasis6 2" xfId="173"/>
    <cellStyle name="60% - Énfasis6 3" xfId="174"/>
    <cellStyle name="60% - Énfasis6 4" xfId="175"/>
    <cellStyle name="60% - Énfasis6 5" xfId="176"/>
    <cellStyle name="60% - Énfasis6 6" xfId="177"/>
    <cellStyle name="60% - Énfasis6 7" xfId="178"/>
    <cellStyle name="60% - Énfasis6 8" xfId="179"/>
    <cellStyle name="60% - Énfasis6 9" xfId="180"/>
    <cellStyle name="Buena 10" xfId="181"/>
    <cellStyle name="Buena 11" xfId="182"/>
    <cellStyle name="Buena 2" xfId="183"/>
    <cellStyle name="Buena 3" xfId="184"/>
    <cellStyle name="Buena 4" xfId="185"/>
    <cellStyle name="Buena 5" xfId="186"/>
    <cellStyle name="Buena 6" xfId="187"/>
    <cellStyle name="Buena 7" xfId="188"/>
    <cellStyle name="Buena 8" xfId="189"/>
    <cellStyle name="Buena 9" xfId="190"/>
    <cellStyle name="Cálculo 10" xfId="191"/>
    <cellStyle name="Cálculo 11" xfId="192"/>
    <cellStyle name="Cálculo 2" xfId="193"/>
    <cellStyle name="Cálculo 3" xfId="194"/>
    <cellStyle name="Cálculo 4" xfId="195"/>
    <cellStyle name="Cálculo 5" xfId="196"/>
    <cellStyle name="Cálculo 6" xfId="197"/>
    <cellStyle name="Cálculo 7" xfId="198"/>
    <cellStyle name="Cálculo 8" xfId="199"/>
    <cellStyle name="Cálculo 9" xfId="200"/>
    <cellStyle name="Celda de comprobación 10" xfId="201"/>
    <cellStyle name="Celda de comprobación 11" xfId="202"/>
    <cellStyle name="Celda de comprobación 2" xfId="203"/>
    <cellStyle name="Celda de comprobación 3" xfId="204"/>
    <cellStyle name="Celda de comprobación 4" xfId="205"/>
    <cellStyle name="Celda de comprobación 5" xfId="206"/>
    <cellStyle name="Celda de comprobación 6" xfId="207"/>
    <cellStyle name="Celda de comprobación 7" xfId="208"/>
    <cellStyle name="Celda de comprobación 8" xfId="209"/>
    <cellStyle name="Celda de comprobación 9" xfId="210"/>
    <cellStyle name="Celda vinculada 10" xfId="211"/>
    <cellStyle name="Celda vinculada 11" xfId="212"/>
    <cellStyle name="Celda vinculada 2" xfId="213"/>
    <cellStyle name="Celda vinculada 3" xfId="214"/>
    <cellStyle name="Celda vinculada 4" xfId="215"/>
    <cellStyle name="Celda vinculada 5" xfId="216"/>
    <cellStyle name="Celda vinculada 6" xfId="217"/>
    <cellStyle name="Celda vinculada 7" xfId="218"/>
    <cellStyle name="Celda vinculada 8" xfId="219"/>
    <cellStyle name="Celda vinculada 9" xfId="220"/>
    <cellStyle name="Encabezado 4 10" xfId="221"/>
    <cellStyle name="Encabezado 4 11" xfId="222"/>
    <cellStyle name="Encabezado 4 2" xfId="223"/>
    <cellStyle name="Encabezado 4 3" xfId="224"/>
    <cellStyle name="Encabezado 4 4" xfId="225"/>
    <cellStyle name="Encabezado 4 5" xfId="226"/>
    <cellStyle name="Encabezado 4 6" xfId="227"/>
    <cellStyle name="Encabezado 4 7" xfId="228"/>
    <cellStyle name="Encabezado 4 8" xfId="229"/>
    <cellStyle name="Encabezado 4 9" xfId="230"/>
    <cellStyle name="Énfasis1 10" xfId="231"/>
    <cellStyle name="Énfasis1 11" xfId="232"/>
    <cellStyle name="Énfasis1 2" xfId="233"/>
    <cellStyle name="Énfasis1 3" xfId="234"/>
    <cellStyle name="Énfasis1 4" xfId="235"/>
    <cellStyle name="Énfasis1 5" xfId="236"/>
    <cellStyle name="Énfasis1 6" xfId="237"/>
    <cellStyle name="Énfasis1 7" xfId="238"/>
    <cellStyle name="Énfasis1 8" xfId="239"/>
    <cellStyle name="Énfasis1 9" xfId="240"/>
    <cellStyle name="Énfasis2 10" xfId="241"/>
    <cellStyle name="Énfasis2 11" xfId="242"/>
    <cellStyle name="Énfasis2 2" xfId="243"/>
    <cellStyle name="Énfasis2 3" xfId="244"/>
    <cellStyle name="Énfasis2 4" xfId="245"/>
    <cellStyle name="Énfasis2 5" xfId="246"/>
    <cellStyle name="Énfasis2 6" xfId="247"/>
    <cellStyle name="Énfasis2 7" xfId="248"/>
    <cellStyle name="Énfasis2 8" xfId="249"/>
    <cellStyle name="Énfasis2 9" xfId="250"/>
    <cellStyle name="Énfasis3 10" xfId="251"/>
    <cellStyle name="Énfasis3 11" xfId="252"/>
    <cellStyle name="Énfasis3 2" xfId="253"/>
    <cellStyle name="Énfasis3 3" xfId="254"/>
    <cellStyle name="Énfasis3 4" xfId="255"/>
    <cellStyle name="Énfasis3 5" xfId="256"/>
    <cellStyle name="Énfasis3 6" xfId="257"/>
    <cellStyle name="Énfasis3 7" xfId="258"/>
    <cellStyle name="Énfasis3 8" xfId="259"/>
    <cellStyle name="Énfasis3 9" xfId="260"/>
    <cellStyle name="Énfasis4 10" xfId="261"/>
    <cellStyle name="Énfasis4 11" xfId="262"/>
    <cellStyle name="Énfasis4 2" xfId="263"/>
    <cellStyle name="Énfasis4 3" xfId="264"/>
    <cellStyle name="Énfasis4 4" xfId="265"/>
    <cellStyle name="Énfasis4 5" xfId="266"/>
    <cellStyle name="Énfasis4 6" xfId="267"/>
    <cellStyle name="Énfasis4 7" xfId="268"/>
    <cellStyle name="Énfasis4 8" xfId="269"/>
    <cellStyle name="Énfasis4 9" xfId="270"/>
    <cellStyle name="Énfasis5 10" xfId="271"/>
    <cellStyle name="Énfasis5 11" xfId="272"/>
    <cellStyle name="Énfasis5 2" xfId="273"/>
    <cellStyle name="Énfasis5 3" xfId="274"/>
    <cellStyle name="Énfasis5 4" xfId="275"/>
    <cellStyle name="Énfasis5 5" xfId="276"/>
    <cellStyle name="Énfasis5 6" xfId="277"/>
    <cellStyle name="Énfasis5 7" xfId="278"/>
    <cellStyle name="Énfasis5 8" xfId="279"/>
    <cellStyle name="Énfasis5 9" xfId="280"/>
    <cellStyle name="Énfasis6 10" xfId="281"/>
    <cellStyle name="Énfasis6 11" xfId="282"/>
    <cellStyle name="Énfasis6 2" xfId="283"/>
    <cellStyle name="Énfasis6 3" xfId="284"/>
    <cellStyle name="Énfasis6 4" xfId="285"/>
    <cellStyle name="Énfasis6 5" xfId="286"/>
    <cellStyle name="Énfasis6 6" xfId="287"/>
    <cellStyle name="Énfasis6 7" xfId="288"/>
    <cellStyle name="Énfasis6 8" xfId="289"/>
    <cellStyle name="Énfasis6 9" xfId="290"/>
    <cellStyle name="Entrada 10" xfId="291"/>
    <cellStyle name="Entrada 11" xfId="292"/>
    <cellStyle name="Entrada 2" xfId="293"/>
    <cellStyle name="Entrada 3" xfId="294"/>
    <cellStyle name="Entrada 4" xfId="295"/>
    <cellStyle name="Entrada 5" xfId="296"/>
    <cellStyle name="Entrada 6" xfId="297"/>
    <cellStyle name="Entrada 7" xfId="298"/>
    <cellStyle name="Entrada 8" xfId="299"/>
    <cellStyle name="Entrada 9" xfId="300"/>
    <cellStyle name="Incorrecto 10" xfId="301"/>
    <cellStyle name="Incorrecto 11" xfId="302"/>
    <cellStyle name="Incorrecto 2" xfId="303"/>
    <cellStyle name="Incorrecto 3" xfId="304"/>
    <cellStyle name="Incorrecto 4" xfId="305"/>
    <cellStyle name="Incorrecto 5" xfId="306"/>
    <cellStyle name="Incorrecto 6" xfId="307"/>
    <cellStyle name="Incorrecto 7" xfId="308"/>
    <cellStyle name="Incorrecto 8" xfId="309"/>
    <cellStyle name="Incorrecto 9" xfId="310"/>
    <cellStyle name="Moneda" xfId="427" builtinId="4"/>
    <cellStyle name="Moneda 9" xfId="311"/>
    <cellStyle name="Neutral 10" xfId="312"/>
    <cellStyle name="Neutral 11" xfId="313"/>
    <cellStyle name="Neutral 2" xfId="314"/>
    <cellStyle name="Neutral 3" xfId="315"/>
    <cellStyle name="Neutral 4" xfId="316"/>
    <cellStyle name="Neutral 5" xfId="317"/>
    <cellStyle name="Neutral 6" xfId="318"/>
    <cellStyle name="Neutral 7" xfId="319"/>
    <cellStyle name="Neutral 8" xfId="320"/>
    <cellStyle name="Neutral 9" xfId="321"/>
    <cellStyle name="Normal" xfId="0" builtinId="0"/>
    <cellStyle name="Normal 10" xfId="322"/>
    <cellStyle name="Normal 11" xfId="323"/>
    <cellStyle name="Normal 12" xfId="324"/>
    <cellStyle name="Normal 13" xfId="325"/>
    <cellStyle name="Normal 14" xfId="326"/>
    <cellStyle name="Normal 15" xfId="327"/>
    <cellStyle name="Normal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Los Cultivos SA 8" xfId="335"/>
    <cellStyle name="Notas 10" xfId="336"/>
    <cellStyle name="Notas 11" xfId="337"/>
    <cellStyle name="Notas 2" xfId="338"/>
    <cellStyle name="Notas 3" xfId="339"/>
    <cellStyle name="Notas 4" xfId="340"/>
    <cellStyle name="Notas 5" xfId="341"/>
    <cellStyle name="Notas 6" xfId="342"/>
    <cellStyle name="Notas 7" xfId="343"/>
    <cellStyle name="Notas 8" xfId="344"/>
    <cellStyle name="Notas 9" xfId="345"/>
    <cellStyle name="Porcentual 8" xfId="346"/>
    <cellStyle name="Salida 10" xfId="347"/>
    <cellStyle name="Salida 11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Salida 9" xfId="356"/>
    <cellStyle name="Texto de advertencia 10" xfId="357"/>
    <cellStyle name="Texto de advertencia 11" xfId="358"/>
    <cellStyle name="Texto de advertencia 2" xfId="359"/>
    <cellStyle name="Texto de advertencia 3" xfId="360"/>
    <cellStyle name="Texto de advertencia 4" xfId="361"/>
    <cellStyle name="Texto de advertencia 5" xfId="362"/>
    <cellStyle name="Texto de advertencia 6" xfId="363"/>
    <cellStyle name="Texto de advertencia 7" xfId="364"/>
    <cellStyle name="Texto de advertencia 8" xfId="365"/>
    <cellStyle name="Texto de advertencia 9" xfId="366"/>
    <cellStyle name="Texto explicativo 10" xfId="367"/>
    <cellStyle name="Texto explicativo 11" xfId="368"/>
    <cellStyle name="Texto explicativo 2" xfId="369"/>
    <cellStyle name="Texto explicativo 3" xfId="370"/>
    <cellStyle name="Texto explicativo 4" xfId="371"/>
    <cellStyle name="Texto explicativo 5" xfId="372"/>
    <cellStyle name="Texto explicativo 6" xfId="373"/>
    <cellStyle name="Texto explicativo 7" xfId="374"/>
    <cellStyle name="Texto explicativo 8" xfId="375"/>
    <cellStyle name="Texto explicativo 9" xfId="376"/>
    <cellStyle name="Título 1 10" xfId="377"/>
    <cellStyle name="Título 1 11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12" xfId="389"/>
    <cellStyle name="Título 13" xfId="390"/>
    <cellStyle name="Título 2 10" xfId="391"/>
    <cellStyle name="Título 2 11" xfId="392"/>
    <cellStyle name="Título 2 2" xfId="393"/>
    <cellStyle name="Título 2 3" xfId="394"/>
    <cellStyle name="Título 2 4" xfId="395"/>
    <cellStyle name="Título 2 5" xfId="396"/>
    <cellStyle name="Título 2 6" xfId="397"/>
    <cellStyle name="Título 2 7" xfId="398"/>
    <cellStyle name="Título 2 8" xfId="399"/>
    <cellStyle name="Título 2 9" xfId="400"/>
    <cellStyle name="Título 3 10" xfId="401"/>
    <cellStyle name="Título 3 11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3 9" xfId="410"/>
    <cellStyle name="Título 4" xfId="411"/>
    <cellStyle name="Título 5" xfId="412"/>
    <cellStyle name="Título 6" xfId="413"/>
    <cellStyle name="Título 7" xfId="414"/>
    <cellStyle name="Título 8" xfId="415"/>
    <cellStyle name="Título 9" xfId="416"/>
    <cellStyle name="Total 10" xfId="417"/>
    <cellStyle name="Total 11" xfId="418"/>
    <cellStyle name="Total 2" xfId="419"/>
    <cellStyle name="Total 3" xfId="420"/>
    <cellStyle name="Total 4" xfId="421"/>
    <cellStyle name="Total 5" xfId="422"/>
    <cellStyle name="Total 6" xfId="423"/>
    <cellStyle name="Total 7" xfId="424"/>
    <cellStyle name="Total 8" xfId="425"/>
    <cellStyle name="Total 9" xfId="4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4"/>
  <sheetViews>
    <sheetView zoomScale="75" zoomScaleNormal="75" workbookViewId="0">
      <selection activeCell="B27" sqref="B27"/>
    </sheetView>
  </sheetViews>
  <sheetFormatPr baseColWidth="10" defaultRowHeight="15" x14ac:dyDescent="0.25"/>
  <cols>
    <col min="1" max="1" width="48" customWidth="1"/>
    <col min="2" max="2" width="21.85546875" customWidth="1"/>
    <col min="3" max="6" width="17.28515625" customWidth="1"/>
    <col min="7" max="7" width="20.28515625" bestFit="1" customWidth="1"/>
    <col min="8" max="8" width="18.85546875" customWidth="1"/>
    <col min="9" max="9" width="17.28515625" customWidth="1"/>
    <col min="10" max="10" width="16.5703125" customWidth="1"/>
    <col min="11" max="11" width="20.140625" bestFit="1" customWidth="1"/>
    <col min="13" max="14" width="0" hidden="1" customWidth="1"/>
  </cols>
  <sheetData>
    <row r="1" spans="1:14" ht="15.75" x14ac:dyDescent="0.25">
      <c r="A1" s="221" t="s">
        <v>43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"/>
    </row>
    <row r="2" spans="1:14" ht="15.75" x14ac:dyDescent="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"/>
    </row>
    <row r="3" spans="1:14" ht="15.75" x14ac:dyDescent="0.25">
      <c r="A3" s="222" t="s">
        <v>119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1"/>
    </row>
    <row r="4" spans="1:14" ht="16.5" thickBot="1" x14ac:dyDescent="0.3">
      <c r="A4" s="222" t="s">
        <v>117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1"/>
    </row>
    <row r="5" spans="1:14" ht="58.5" x14ac:dyDescent="0.4">
      <c r="A5" s="124" t="s">
        <v>44</v>
      </c>
      <c r="B5" s="124" t="s">
        <v>125</v>
      </c>
      <c r="C5" s="125" t="s">
        <v>45</v>
      </c>
      <c r="D5" s="125" t="s">
        <v>47</v>
      </c>
      <c r="E5" s="125" t="s">
        <v>46</v>
      </c>
      <c r="F5" s="125" t="s">
        <v>48</v>
      </c>
      <c r="G5" s="125" t="s">
        <v>49</v>
      </c>
      <c r="H5" s="124" t="s">
        <v>10</v>
      </c>
      <c r="I5" s="125" t="s">
        <v>52</v>
      </c>
      <c r="J5" s="125" t="s">
        <v>51</v>
      </c>
      <c r="K5" s="124" t="s">
        <v>50</v>
      </c>
      <c r="L5" s="2"/>
    </row>
    <row r="6" spans="1:14" ht="18.75" x14ac:dyDescent="0.4">
      <c r="A6" s="100" t="s">
        <v>30</v>
      </c>
      <c r="B6" s="106">
        <f>SUM(C6:F6)</f>
        <v>100</v>
      </c>
      <c r="C6" s="102">
        <v>20</v>
      </c>
      <c r="D6" s="102">
        <v>50</v>
      </c>
      <c r="E6" s="102">
        <v>10</v>
      </c>
      <c r="F6" s="102">
        <v>20</v>
      </c>
      <c r="G6" s="101"/>
      <c r="H6" s="103"/>
      <c r="I6" s="101"/>
      <c r="J6" s="101"/>
      <c r="K6" s="101"/>
      <c r="L6" s="1"/>
    </row>
    <row r="7" spans="1:14" ht="18.75" x14ac:dyDescent="0.4">
      <c r="A7" s="100" t="s">
        <v>53</v>
      </c>
      <c r="B7" s="106">
        <f>SUM(C7:I7)</f>
        <v>148000</v>
      </c>
      <c r="C7" s="105">
        <v>80000</v>
      </c>
      <c r="D7" s="105">
        <v>28000</v>
      </c>
      <c r="E7" s="105">
        <v>28000</v>
      </c>
      <c r="F7" s="105">
        <v>12000</v>
      </c>
      <c r="G7" s="104"/>
      <c r="H7" s="103"/>
      <c r="I7" s="101"/>
      <c r="J7" s="101"/>
      <c r="K7" s="101"/>
      <c r="L7" s="1"/>
    </row>
    <row r="8" spans="1:14" ht="19.5" x14ac:dyDescent="0.4">
      <c r="A8" s="115" t="s">
        <v>12</v>
      </c>
      <c r="B8" s="117">
        <f>SUM(B9:B13)</f>
        <v>76000</v>
      </c>
      <c r="C8" s="121">
        <f>SUM(C9:C13)</f>
        <v>20905.405405405407</v>
      </c>
      <c r="D8" s="121">
        <f>SUM(D9:D13)</f>
        <v>23391.891891891893</v>
      </c>
      <c r="E8" s="121">
        <f>SUM(E9:E13)</f>
        <v>15391.891891891892</v>
      </c>
      <c r="F8" s="121">
        <f>SUM(F9:F13)</f>
        <v>16310.81081081081</v>
      </c>
      <c r="G8" s="121"/>
      <c r="H8" s="122">
        <f>SUM(H9:H13)</f>
        <v>-61000</v>
      </c>
      <c r="I8" s="123">
        <f>SUM(I9:I11)</f>
        <v>0</v>
      </c>
      <c r="J8" s="123"/>
      <c r="K8" s="122">
        <f>SUM(K9:K13)</f>
        <v>-15000</v>
      </c>
    </row>
    <row r="9" spans="1:14" s="114" customFormat="1" ht="15.75" x14ac:dyDescent="0.25">
      <c r="A9" s="107" t="s">
        <v>13</v>
      </c>
      <c r="B9" s="108">
        <f>SUM(C9:F9)</f>
        <v>20000</v>
      </c>
      <c r="C9" s="109">
        <f>(400*50)*(C6/B6)</f>
        <v>4000</v>
      </c>
      <c r="D9" s="109">
        <f>(400*50)*(D6/B6)</f>
        <v>10000</v>
      </c>
      <c r="E9" s="109">
        <f>(400*50)*(E6/B6)</f>
        <v>2000</v>
      </c>
      <c r="F9" s="109">
        <f>(400*50)*(F6/B6)</f>
        <v>4000</v>
      </c>
      <c r="G9" s="110"/>
      <c r="H9" s="111">
        <f>-(C9+E9+D9+F9)</f>
        <v>-20000</v>
      </c>
      <c r="I9" s="112"/>
      <c r="J9" s="112"/>
      <c r="K9" s="108"/>
    </row>
    <row r="10" spans="1:14" s="114" customFormat="1" ht="15.75" x14ac:dyDescent="0.25">
      <c r="A10" s="107" t="s">
        <v>14</v>
      </c>
      <c r="B10" s="108">
        <f t="shared" ref="B10:B13" si="0">SUM(C10:F10)</f>
        <v>6000</v>
      </c>
      <c r="C10" s="109">
        <f>15*100</f>
        <v>1500</v>
      </c>
      <c r="D10" s="109">
        <f>15*100</f>
        <v>1500</v>
      </c>
      <c r="E10" s="109">
        <f>15*100</f>
        <v>1500</v>
      </c>
      <c r="F10" s="109">
        <f>15*100</f>
        <v>1500</v>
      </c>
      <c r="G10" s="110"/>
      <c r="H10" s="111">
        <f>(150-60)*(100)</f>
        <v>9000</v>
      </c>
      <c r="I10" s="112"/>
      <c r="J10" s="112"/>
      <c r="K10" s="108">
        <f>-(C10+E10+D10+F10+H10)</f>
        <v>-15000</v>
      </c>
    </row>
    <row r="11" spans="1:14" s="114" customFormat="1" ht="15.75" x14ac:dyDescent="0.25">
      <c r="A11" s="107" t="s">
        <v>15</v>
      </c>
      <c r="B11" s="108">
        <f t="shared" si="0"/>
        <v>20000</v>
      </c>
      <c r="C11" s="109">
        <v>5000</v>
      </c>
      <c r="D11" s="109">
        <v>5000</v>
      </c>
      <c r="E11" s="109">
        <v>5000</v>
      </c>
      <c r="F11" s="109">
        <v>5000</v>
      </c>
      <c r="G11" s="110"/>
      <c r="H11" s="111">
        <f>-(C11+E11+D11+F11)</f>
        <v>-20000</v>
      </c>
      <c r="I11" s="113"/>
      <c r="J11" s="113"/>
      <c r="K11" s="108"/>
    </row>
    <row r="12" spans="1:14" s="114" customFormat="1" ht="15.75" x14ac:dyDescent="0.25">
      <c r="A12" s="107" t="s">
        <v>16</v>
      </c>
      <c r="B12" s="108">
        <f t="shared" si="0"/>
        <v>20000</v>
      </c>
      <c r="C12" s="109">
        <v>5000</v>
      </c>
      <c r="D12" s="109">
        <v>5000</v>
      </c>
      <c r="E12" s="109">
        <v>5000</v>
      </c>
      <c r="F12" s="109">
        <v>5000</v>
      </c>
      <c r="G12" s="110"/>
      <c r="H12" s="111">
        <f>-(C12+E12+D12+F12)</f>
        <v>-20000</v>
      </c>
      <c r="I12" s="113"/>
      <c r="J12" s="113"/>
      <c r="K12" s="108"/>
    </row>
    <row r="13" spans="1:14" s="114" customFormat="1" ht="15.75" x14ac:dyDescent="0.25">
      <c r="A13" s="107" t="s">
        <v>17</v>
      </c>
      <c r="B13" s="108">
        <f t="shared" si="0"/>
        <v>10000</v>
      </c>
      <c r="C13" s="109">
        <f>10000*(C7/B7)</f>
        <v>5405.4054054054059</v>
      </c>
      <c r="D13" s="109">
        <f>10000*(D7/B7)</f>
        <v>1891.8918918918921</v>
      </c>
      <c r="E13" s="109">
        <f>10000*(E7/B7)</f>
        <v>1891.8918918918921</v>
      </c>
      <c r="F13" s="109">
        <f>10000*(F7/B7)</f>
        <v>810.81081081081084</v>
      </c>
      <c r="G13" s="110"/>
      <c r="H13" s="111">
        <f>-(C13+E13+D13+F13)</f>
        <v>-10000</v>
      </c>
      <c r="I13" s="113"/>
      <c r="J13" s="113"/>
      <c r="K13" s="108"/>
    </row>
    <row r="14" spans="1:14" ht="19.5" x14ac:dyDescent="0.4">
      <c r="A14" s="116" t="s">
        <v>18</v>
      </c>
      <c r="B14" s="117">
        <f>SUM(B15:B18)</f>
        <v>208000</v>
      </c>
      <c r="C14" s="118">
        <f t="shared" ref="C14:H14" si="1">SUM(C15:C18)</f>
        <v>52000</v>
      </c>
      <c r="D14" s="118">
        <f t="shared" si="1"/>
        <v>52000</v>
      </c>
      <c r="E14" s="118">
        <f t="shared" si="1"/>
        <v>52000</v>
      </c>
      <c r="F14" s="118">
        <f t="shared" si="1"/>
        <v>52000</v>
      </c>
      <c r="G14" s="118">
        <f t="shared" si="1"/>
        <v>0</v>
      </c>
      <c r="H14" s="119">
        <f t="shared" si="1"/>
        <v>0</v>
      </c>
      <c r="I14" s="120"/>
      <c r="J14" s="120"/>
      <c r="K14" s="117">
        <f>SUM(K15:K18)</f>
        <v>-208000</v>
      </c>
      <c r="M14">
        <v>28000</v>
      </c>
      <c r="N14">
        <f>+M14/M16</f>
        <v>0.7</v>
      </c>
    </row>
    <row r="15" spans="1:14" s="114" customFormat="1" ht="15.75" x14ac:dyDescent="0.25">
      <c r="A15" s="130" t="s">
        <v>23</v>
      </c>
      <c r="B15" s="108">
        <v>120000</v>
      </c>
      <c r="C15" s="126">
        <f>120000/4</f>
        <v>30000</v>
      </c>
      <c r="D15" s="126">
        <f>120000/4</f>
        <v>30000</v>
      </c>
      <c r="E15" s="126">
        <f>120000/4</f>
        <v>30000</v>
      </c>
      <c r="F15" s="126">
        <f>120000/4</f>
        <v>30000</v>
      </c>
      <c r="G15" s="127"/>
      <c r="H15" s="128"/>
      <c r="I15" s="129"/>
      <c r="J15" s="129"/>
      <c r="K15" s="108">
        <f>-(C15+E15+D15+F15+G15)</f>
        <v>-120000</v>
      </c>
      <c r="M15" s="114">
        <v>12000</v>
      </c>
      <c r="N15" s="114">
        <f>+M15/M16</f>
        <v>0.3</v>
      </c>
    </row>
    <row r="16" spans="1:14" s="114" customFormat="1" ht="15.75" x14ac:dyDescent="0.25">
      <c r="A16" s="130" t="s">
        <v>20</v>
      </c>
      <c r="B16" s="108">
        <v>40000</v>
      </c>
      <c r="C16" s="126">
        <f>40000/4</f>
        <v>10000</v>
      </c>
      <c r="D16" s="126">
        <f>40000/4</f>
        <v>10000</v>
      </c>
      <c r="E16" s="126">
        <f>40000/4</f>
        <v>10000</v>
      </c>
      <c r="F16" s="126">
        <f>40000/4</f>
        <v>10000</v>
      </c>
      <c r="G16" s="127"/>
      <c r="H16" s="128"/>
      <c r="I16" s="129"/>
      <c r="J16" s="129"/>
      <c r="K16" s="108">
        <f>-(C16+E16+D16+F16+G16)</f>
        <v>-40000</v>
      </c>
      <c r="M16" s="114">
        <f>+M14+M15</f>
        <v>40000</v>
      </c>
    </row>
    <row r="17" spans="1:11" s="114" customFormat="1" ht="15.75" x14ac:dyDescent="0.25">
      <c r="A17" s="130" t="s">
        <v>21</v>
      </c>
      <c r="B17" s="108">
        <v>36000</v>
      </c>
      <c r="C17" s="126">
        <f>C15*30%</f>
        <v>9000</v>
      </c>
      <c r="D17" s="126">
        <f>D15*30%</f>
        <v>9000</v>
      </c>
      <c r="E17" s="126">
        <f>E15*30%</f>
        <v>9000</v>
      </c>
      <c r="F17" s="126">
        <f>F15*30%</f>
        <v>9000</v>
      </c>
      <c r="G17" s="127"/>
      <c r="H17" s="128"/>
      <c r="I17" s="131"/>
      <c r="J17" s="131"/>
      <c r="K17" s="108">
        <f>-(C17+E17+D17+F17+G17)</f>
        <v>-36000</v>
      </c>
    </row>
    <row r="18" spans="1:11" s="114" customFormat="1" ht="15.75" x14ac:dyDescent="0.25">
      <c r="A18" s="130" t="s">
        <v>22</v>
      </c>
      <c r="B18" s="108">
        <v>12000</v>
      </c>
      <c r="C18" s="126">
        <f>C15*10%</f>
        <v>3000</v>
      </c>
      <c r="D18" s="126">
        <f>D15*10%</f>
        <v>3000</v>
      </c>
      <c r="E18" s="126">
        <f>E15*10%</f>
        <v>3000</v>
      </c>
      <c r="F18" s="126">
        <f>F15*10%</f>
        <v>3000</v>
      </c>
      <c r="G18" s="127"/>
      <c r="H18" s="128"/>
      <c r="I18" s="131"/>
      <c r="J18" s="131"/>
      <c r="K18" s="108">
        <f>-(C18+E18+D18+F18+G18)</f>
        <v>-12000</v>
      </c>
    </row>
    <row r="19" spans="1:11" s="133" customFormat="1" ht="19.5" x14ac:dyDescent="0.4">
      <c r="A19" s="116" t="s">
        <v>24</v>
      </c>
      <c r="B19" s="132">
        <f>SUM(B20:B28)</f>
        <v>202341.68</v>
      </c>
      <c r="C19" s="118">
        <f>SUM(C20:C28)</f>
        <v>39841.67</v>
      </c>
      <c r="D19" s="118">
        <f t="shared" ref="D19:J19" si="2">SUM(D20:D28)</f>
        <v>66241.67</v>
      </c>
      <c r="E19" s="118">
        <f t="shared" si="2"/>
        <v>30841.67</v>
      </c>
      <c r="F19" s="118">
        <f t="shared" si="2"/>
        <v>40441.67</v>
      </c>
      <c r="G19" s="118">
        <f t="shared" si="2"/>
        <v>24975</v>
      </c>
      <c r="H19" s="118">
        <f t="shared" si="2"/>
        <v>0</v>
      </c>
      <c r="I19" s="185">
        <v>-16875</v>
      </c>
      <c r="J19" s="185">
        <f t="shared" si="2"/>
        <v>95833.32</v>
      </c>
      <c r="K19" s="132">
        <f>SUM(K20:K28)</f>
        <v>-281300</v>
      </c>
    </row>
    <row r="20" spans="1:11" s="114" customFormat="1" ht="15.75" x14ac:dyDescent="0.25">
      <c r="A20" s="130" t="s">
        <v>19</v>
      </c>
      <c r="B20" s="108">
        <f>SUM(C20:J20)</f>
        <v>60000</v>
      </c>
      <c r="C20" s="134">
        <f>(60000*80%)/4</f>
        <v>12000</v>
      </c>
      <c r="D20" s="134">
        <f>(60000*80%)/4</f>
        <v>12000</v>
      </c>
      <c r="E20" s="134">
        <f>(60000*80%)/4</f>
        <v>12000</v>
      </c>
      <c r="F20" s="134">
        <f>(60000*80%)/4</f>
        <v>12000</v>
      </c>
      <c r="G20" s="134">
        <f>(60000*20%)</f>
        <v>12000</v>
      </c>
      <c r="H20" s="128"/>
      <c r="I20" s="131"/>
      <c r="J20" s="131"/>
      <c r="K20" s="108">
        <f t="shared" ref="K20:K26" si="3">-(C20+E20+D20+F20+G20)</f>
        <v>-60000</v>
      </c>
    </row>
    <row r="21" spans="1:11" s="114" customFormat="1" ht="15.75" x14ac:dyDescent="0.25">
      <c r="A21" s="130" t="s">
        <v>20</v>
      </c>
      <c r="B21" s="108">
        <f t="shared" ref="B21:B26" si="4">SUM(C21:J21)</f>
        <v>15000</v>
      </c>
      <c r="C21" s="134">
        <f>(15000*80%)/4</f>
        <v>3000</v>
      </c>
      <c r="D21" s="134">
        <f>(15000*80%)/4</f>
        <v>3000</v>
      </c>
      <c r="E21" s="134">
        <f>(15000*80%)/4</f>
        <v>3000</v>
      </c>
      <c r="F21" s="134">
        <f>(15000*80%)/4</f>
        <v>3000</v>
      </c>
      <c r="G21" s="134">
        <f>(15000*20%)</f>
        <v>3000</v>
      </c>
      <c r="H21" s="128"/>
      <c r="I21" s="131"/>
      <c r="J21" s="131"/>
      <c r="K21" s="108">
        <f t="shared" si="3"/>
        <v>-15000</v>
      </c>
    </row>
    <row r="22" spans="1:11" s="114" customFormat="1" ht="15.75" x14ac:dyDescent="0.25">
      <c r="A22" s="130" t="s">
        <v>21</v>
      </c>
      <c r="B22" s="108">
        <f t="shared" si="4"/>
        <v>18000</v>
      </c>
      <c r="C22" s="126">
        <f>C20*30%</f>
        <v>3600</v>
      </c>
      <c r="D22" s="126">
        <f>D20*30%</f>
        <v>3600</v>
      </c>
      <c r="E22" s="126">
        <f>E20*30%</f>
        <v>3600</v>
      </c>
      <c r="F22" s="126">
        <f>F20*30%</f>
        <v>3600</v>
      </c>
      <c r="G22" s="126">
        <f>G20*30%</f>
        <v>3600</v>
      </c>
      <c r="H22" s="134"/>
      <c r="I22" s="129"/>
      <c r="J22" s="129"/>
      <c r="K22" s="108">
        <f t="shared" si="3"/>
        <v>-18000</v>
      </c>
    </row>
    <row r="23" spans="1:11" s="114" customFormat="1" ht="15.75" x14ac:dyDescent="0.25">
      <c r="A23" s="130" t="s">
        <v>22</v>
      </c>
      <c r="B23" s="108">
        <f t="shared" si="4"/>
        <v>6000</v>
      </c>
      <c r="C23" s="126">
        <f>C20*10%</f>
        <v>1200</v>
      </c>
      <c r="D23" s="126">
        <f>D20*10%</f>
        <v>1200</v>
      </c>
      <c r="E23" s="126">
        <f>E20*10%</f>
        <v>1200</v>
      </c>
      <c r="F23" s="126">
        <f>F20*10%</f>
        <v>1200</v>
      </c>
      <c r="G23" s="126">
        <f>G20*10%</f>
        <v>1200</v>
      </c>
      <c r="H23" s="134"/>
      <c r="I23" s="129"/>
      <c r="J23" s="129"/>
      <c r="K23" s="108">
        <f t="shared" si="3"/>
        <v>-6000</v>
      </c>
    </row>
    <row r="24" spans="1:11" s="114" customFormat="1" ht="15.75" x14ac:dyDescent="0.25">
      <c r="A24" s="135" t="s">
        <v>25</v>
      </c>
      <c r="B24" s="108">
        <f t="shared" si="4"/>
        <v>60000</v>
      </c>
      <c r="C24" s="136">
        <f>60000*(C6/B6)</f>
        <v>12000</v>
      </c>
      <c r="D24" s="136">
        <f>60000*(D6/B6)</f>
        <v>30000</v>
      </c>
      <c r="E24" s="136">
        <f>60000*(E6/B6)</f>
        <v>6000</v>
      </c>
      <c r="F24" s="136">
        <f>60000*(F6/B6)</f>
        <v>12000</v>
      </c>
      <c r="G24" s="113"/>
      <c r="H24" s="129"/>
      <c r="I24" s="137"/>
      <c r="J24" s="137"/>
      <c r="K24" s="108">
        <f t="shared" si="3"/>
        <v>-60000</v>
      </c>
    </row>
    <row r="25" spans="1:11" s="114" customFormat="1" ht="15.75" x14ac:dyDescent="0.25">
      <c r="A25" s="135" t="s">
        <v>26</v>
      </c>
      <c r="B25" s="108">
        <f t="shared" si="4"/>
        <v>12000</v>
      </c>
      <c r="C25" s="136"/>
      <c r="D25" s="138">
        <v>8400</v>
      </c>
      <c r="E25" s="136"/>
      <c r="F25" s="138">
        <v>3600</v>
      </c>
      <c r="G25" s="113"/>
      <c r="H25" s="129"/>
      <c r="I25" s="137"/>
      <c r="J25" s="137"/>
      <c r="K25" s="108">
        <f t="shared" si="3"/>
        <v>-12000</v>
      </c>
    </row>
    <row r="26" spans="1:11" s="114" customFormat="1" ht="15.75" x14ac:dyDescent="0.25">
      <c r="A26" s="135" t="s">
        <v>27</v>
      </c>
      <c r="B26" s="108">
        <f t="shared" si="4"/>
        <v>10300</v>
      </c>
      <c r="C26" s="136">
        <f>'Anexos 1er. Sem'!E17</f>
        <v>2700</v>
      </c>
      <c r="D26" s="136">
        <f>'Anexos 1er. Sem'!G17</f>
        <v>2700</v>
      </c>
      <c r="E26" s="136">
        <f>'Anexos 1er. Sem'!F17</f>
        <v>1700</v>
      </c>
      <c r="F26" s="136">
        <f>'Anexos 1er. Sem'!H17</f>
        <v>1700</v>
      </c>
      <c r="G26" s="113">
        <f>'Anexos 1er. Sem'!I17</f>
        <v>1500</v>
      </c>
      <c r="H26" s="129"/>
      <c r="I26" s="137"/>
      <c r="J26" s="137"/>
      <c r="K26" s="108">
        <f t="shared" si="3"/>
        <v>-10300</v>
      </c>
    </row>
    <row r="27" spans="1:11" s="114" customFormat="1" ht="15.75" x14ac:dyDescent="0.25">
      <c r="A27" s="135" t="s">
        <v>28</v>
      </c>
      <c r="B27" s="108">
        <f>SUM(C27:G27)</f>
        <v>4166.68</v>
      </c>
      <c r="C27" s="136">
        <v>1041.67</v>
      </c>
      <c r="D27" s="136">
        <v>1041.67</v>
      </c>
      <c r="E27" s="136">
        <v>1041.67</v>
      </c>
      <c r="F27" s="136">
        <v>1041.67</v>
      </c>
      <c r="G27" s="136"/>
      <c r="H27" s="129"/>
      <c r="I27" s="139"/>
      <c r="J27" s="113">
        <f>-K27-B27</f>
        <v>95833.32</v>
      </c>
      <c r="K27" s="108">
        <v>-100000</v>
      </c>
    </row>
    <row r="28" spans="1:11" s="114" customFormat="1" ht="16.5" thickBot="1" x14ac:dyDescent="0.3">
      <c r="A28" s="140" t="s">
        <v>29</v>
      </c>
      <c r="B28" s="141">
        <f>+C28+D28+E28+F28+G28</f>
        <v>16875</v>
      </c>
      <c r="C28" s="142">
        <f>'Anexos 1er. Sem'!E12</f>
        <v>4300</v>
      </c>
      <c r="D28" s="142">
        <f>'Anexos 1er. Sem'!G12</f>
        <v>4300</v>
      </c>
      <c r="E28" s="142">
        <f>'Anexos 1er. Sem'!F12</f>
        <v>2300</v>
      </c>
      <c r="F28" s="142">
        <f>'Anexos 1er. Sem'!H12</f>
        <v>2300</v>
      </c>
      <c r="G28" s="143">
        <f>'Anexos 1er. Sem'!I12</f>
        <v>3675</v>
      </c>
      <c r="H28" s="144"/>
      <c r="I28" s="141">
        <f ca="1">SUM(C28:K28)*-1</f>
        <v>-16875</v>
      </c>
      <c r="J28" s="143"/>
      <c r="K28" s="144"/>
    </row>
    <row r="29" spans="1:11" ht="21.75" customHeight="1" thickBot="1" x14ac:dyDescent="0.3">
      <c r="A29" s="204" t="s">
        <v>54</v>
      </c>
      <c r="B29" s="205"/>
      <c r="C29" s="206">
        <f>C8+C14+C19</f>
        <v>112747.07540540541</v>
      </c>
      <c r="D29" s="206">
        <f>D8+D14+D19</f>
        <v>141633.56189189188</v>
      </c>
      <c r="E29" s="206">
        <f>E8+E14+E19</f>
        <v>98233.561891891892</v>
      </c>
      <c r="F29" s="206">
        <f>F8+F14+F19</f>
        <v>108752.48081081081</v>
      </c>
      <c r="G29" s="207">
        <f>G8+G14+G19</f>
        <v>24975</v>
      </c>
      <c r="H29" s="7"/>
      <c r="I29" s="4"/>
      <c r="J29" s="4"/>
      <c r="K29" s="184">
        <f>+K8+K14+K19</f>
        <v>-504300</v>
      </c>
    </row>
    <row r="30" spans="1:11" ht="25.5" customHeight="1" thickBot="1" x14ac:dyDescent="0.3">
      <c r="A30" s="61" t="s">
        <v>62</v>
      </c>
      <c r="B30" s="62"/>
      <c r="C30" s="63">
        <f>C7+C29</f>
        <v>192747.07540540543</v>
      </c>
      <c r="D30" s="63">
        <f>D7+D29</f>
        <v>169633.56189189188</v>
      </c>
      <c r="E30" s="63">
        <f>E7+E29</f>
        <v>126233.56189189189</v>
      </c>
      <c r="F30" s="63">
        <f>F7+F29</f>
        <v>120752.48081081081</v>
      </c>
      <c r="G30" s="64">
        <f>G7+G29</f>
        <v>24975</v>
      </c>
      <c r="H30" s="7"/>
      <c r="I30" s="4"/>
      <c r="J30" s="4"/>
      <c r="K30" s="48"/>
    </row>
    <row r="31" spans="1:11" ht="16.5" thickBot="1" x14ac:dyDescent="0.3">
      <c r="A31" s="15" t="s">
        <v>55</v>
      </c>
      <c r="B31" s="48"/>
      <c r="C31" s="9">
        <f>C6</f>
        <v>20</v>
      </c>
      <c r="D31" s="9">
        <f>D6</f>
        <v>50</v>
      </c>
      <c r="E31" s="9">
        <f>E6</f>
        <v>10</v>
      </c>
      <c r="F31" s="9">
        <f>F6</f>
        <v>20</v>
      </c>
      <c r="G31" s="10"/>
      <c r="H31" s="5"/>
      <c r="I31" s="4"/>
      <c r="J31" s="65"/>
      <c r="K31" s="48"/>
    </row>
    <row r="32" spans="1:11" ht="29.25" customHeight="1" thickBot="1" x14ac:dyDescent="0.45">
      <c r="A32" s="66" t="s">
        <v>56</v>
      </c>
      <c r="B32" s="67"/>
      <c r="C32" s="68">
        <f>C30/C31</f>
        <v>9637.3537702702706</v>
      </c>
      <c r="D32" s="68">
        <f>D30/D31</f>
        <v>3392.6712378378375</v>
      </c>
      <c r="E32" s="68">
        <f>E30/E31</f>
        <v>12623.35618918919</v>
      </c>
      <c r="F32" s="69">
        <f>F30/F31</f>
        <v>6037.6240405405406</v>
      </c>
      <c r="G32" s="5"/>
      <c r="H32" s="5"/>
      <c r="I32" s="4"/>
      <c r="J32" s="65"/>
      <c r="K32" s="48"/>
    </row>
    <row r="33" spans="1:11" ht="16.5" thickBot="1" x14ac:dyDescent="0.3">
      <c r="A33" s="47"/>
      <c r="B33" s="48"/>
      <c r="C33" s="7"/>
      <c r="D33" s="7"/>
      <c r="E33" s="7"/>
      <c r="F33" s="7"/>
      <c r="G33" s="5"/>
      <c r="H33" s="5"/>
      <c r="I33" s="4"/>
      <c r="J33" s="65"/>
      <c r="K33" s="48"/>
    </row>
    <row r="34" spans="1:11" ht="15.75" x14ac:dyDescent="0.25">
      <c r="A34" s="15" t="s">
        <v>63</v>
      </c>
      <c r="B34" s="48"/>
      <c r="C34" s="42">
        <f>20-1</f>
        <v>19</v>
      </c>
      <c r="D34" s="42">
        <f>50-1</f>
        <v>49</v>
      </c>
      <c r="E34" s="42">
        <f>10-1</f>
        <v>9</v>
      </c>
      <c r="F34" s="42">
        <f>20-1</f>
        <v>19</v>
      </c>
      <c r="G34" s="70" t="s">
        <v>122</v>
      </c>
      <c r="H34" s="71" t="s">
        <v>124</v>
      </c>
      <c r="I34" s="71" t="s">
        <v>123</v>
      </c>
      <c r="J34" s="65"/>
      <c r="K34" s="48"/>
    </row>
    <row r="35" spans="1:11" ht="16.5" thickBot="1" x14ac:dyDescent="0.3">
      <c r="A35" s="15" t="s">
        <v>57</v>
      </c>
      <c r="B35" s="48"/>
      <c r="C35" s="12">
        <f>C32*1</f>
        <v>9637.3537702702706</v>
      </c>
      <c r="D35" s="12">
        <f>D32*1</f>
        <v>3392.6712378378375</v>
      </c>
      <c r="E35" s="12">
        <f>E32*1</f>
        <v>12623.35618918919</v>
      </c>
      <c r="F35" s="12">
        <f>F32*1</f>
        <v>6037.6240405405406</v>
      </c>
      <c r="G35" s="72">
        <f>SUM(C35:F35)</f>
        <v>31691.005237837839</v>
      </c>
      <c r="H35" s="73">
        <f>+I35-G35</f>
        <v>3802.9206285405453</v>
      </c>
      <c r="I35" s="73">
        <f>+G35*1.12</f>
        <v>35493.925866378384</v>
      </c>
      <c r="J35" s="65"/>
      <c r="K35" s="48"/>
    </row>
    <row r="36" spans="1:11" ht="16.5" thickBot="1" x14ac:dyDescent="0.3">
      <c r="A36" s="219" t="s">
        <v>124</v>
      </c>
      <c r="B36" s="220"/>
      <c r="C36" s="196">
        <f>+C35*0.12</f>
        <v>1156.4824524324324</v>
      </c>
      <c r="D36" s="196">
        <f t="shared" ref="D36:F36" si="5">+D35*0.12</f>
        <v>407.12054854054048</v>
      </c>
      <c r="E36" s="196">
        <f t="shared" si="5"/>
        <v>1514.8027427027027</v>
      </c>
      <c r="F36" s="196">
        <f t="shared" si="5"/>
        <v>724.51488486486483</v>
      </c>
      <c r="G36" s="4"/>
      <c r="H36" s="73">
        <f>+C36+D36+E36+F36</f>
        <v>3802.9206285405407</v>
      </c>
      <c r="I36" s="4"/>
      <c r="J36" s="4"/>
      <c r="K36" s="6"/>
    </row>
    <row r="37" spans="1:11" ht="15.75" x14ac:dyDescent="0.25">
      <c r="A37" s="15" t="s">
        <v>58</v>
      </c>
      <c r="B37" s="13"/>
      <c r="C37" s="14">
        <f>C34</f>
        <v>19</v>
      </c>
      <c r="D37" s="14">
        <f>D34</f>
        <v>49</v>
      </c>
      <c r="E37" s="14">
        <f>E34</f>
        <v>9</v>
      </c>
      <c r="F37" s="14">
        <f>F34</f>
        <v>19</v>
      </c>
      <c r="G37" s="3"/>
      <c r="H37" s="3"/>
      <c r="I37" s="4"/>
      <c r="J37" s="4"/>
      <c r="K37" s="13"/>
    </row>
    <row r="38" spans="1:11" ht="15.75" x14ac:dyDescent="0.25">
      <c r="A38" s="15" t="s">
        <v>59</v>
      </c>
      <c r="B38" s="13"/>
      <c r="C38" s="7">
        <f>C30-C35</f>
        <v>183109.72163513515</v>
      </c>
      <c r="D38" s="7">
        <f>D30-D35</f>
        <v>166240.89065405403</v>
      </c>
      <c r="E38" s="7">
        <f>E30-E35</f>
        <v>113610.2057027027</v>
      </c>
      <c r="F38" s="7">
        <f>F30-F35</f>
        <v>114714.85677027027</v>
      </c>
      <c r="G38" s="4"/>
      <c r="H38" s="3"/>
      <c r="I38" s="4"/>
      <c r="J38" s="4"/>
      <c r="K38" s="13"/>
    </row>
    <row r="39" spans="1:11" ht="15.75" thickBot="1" x14ac:dyDescent="0.3">
      <c r="A39" s="16"/>
      <c r="B39" s="18"/>
      <c r="C39" s="17"/>
      <c r="D39" s="17"/>
      <c r="E39" s="17"/>
      <c r="F39" s="17"/>
      <c r="G39" s="17"/>
      <c r="H39" s="17"/>
      <c r="I39" s="17"/>
      <c r="J39" s="17"/>
      <c r="K39" s="18"/>
    </row>
    <row r="41" spans="1:11" x14ac:dyDescent="0.25">
      <c r="C41" s="218" t="s">
        <v>137</v>
      </c>
      <c r="D41" s="218"/>
      <c r="E41" s="218"/>
      <c r="F41" s="218"/>
    </row>
    <row r="42" spans="1:11" x14ac:dyDescent="0.25">
      <c r="C42" s="190">
        <f>+C8</f>
        <v>20905.405405405407</v>
      </c>
      <c r="D42" s="190">
        <f>+D8</f>
        <v>23391.891891891893</v>
      </c>
      <c r="E42" s="190">
        <f>+E8</f>
        <v>15391.891891891892</v>
      </c>
      <c r="F42" s="190">
        <f>+F8</f>
        <v>16310.81081081081</v>
      </c>
    </row>
    <row r="43" spans="1:11" x14ac:dyDescent="0.25">
      <c r="C43" s="190">
        <f>+C14</f>
        <v>52000</v>
      </c>
      <c r="D43" s="190">
        <f>+D14</f>
        <v>52000</v>
      </c>
      <c r="E43" s="190">
        <f>+E14</f>
        <v>52000</v>
      </c>
      <c r="F43" s="190">
        <f>+F14</f>
        <v>52000</v>
      </c>
    </row>
    <row r="44" spans="1:11" x14ac:dyDescent="0.25">
      <c r="C44" s="190">
        <f>+C19</f>
        <v>39841.67</v>
      </c>
      <c r="D44" s="190">
        <f>+D19</f>
        <v>66241.67</v>
      </c>
      <c r="E44" s="190">
        <f>+E19</f>
        <v>30841.67</v>
      </c>
      <c r="F44" s="190">
        <f>+F19</f>
        <v>40441.67</v>
      </c>
    </row>
    <row r="45" spans="1:11" x14ac:dyDescent="0.25">
      <c r="C45" s="203">
        <f>+'HojaTecnica2o Sem'!C8</f>
        <v>18628.100204865947</v>
      </c>
      <c r="D45" s="203">
        <f>+'HojaTecnica2o Sem'!D8</f>
        <v>24586.088065216372</v>
      </c>
      <c r="E45" s="203">
        <f>+'HojaTecnica2o Sem'!E8</f>
        <v>15341.678028280796</v>
      </c>
      <c r="F45" s="203">
        <f>+'HojaTecnica2o Sem'!F8</f>
        <v>17444.133701636882</v>
      </c>
    </row>
    <row r="46" spans="1:11" x14ac:dyDescent="0.25">
      <c r="C46" s="203">
        <f>+'HojaTecnica2o Sem'!C14</f>
        <v>52000</v>
      </c>
      <c r="D46" s="203">
        <f>+'HojaTecnica2o Sem'!D14</f>
        <v>52000</v>
      </c>
      <c r="E46" s="203">
        <f>+'HojaTecnica2o Sem'!E14</f>
        <v>52000</v>
      </c>
      <c r="F46" s="203">
        <f>+'HojaTecnica2o Sem'!F14</f>
        <v>52000</v>
      </c>
    </row>
    <row r="47" spans="1:11" x14ac:dyDescent="0.25">
      <c r="C47" s="203">
        <f>+'HojaTecnica2o Sem'!C19</f>
        <v>48300</v>
      </c>
      <c r="D47" s="203">
        <f>+'HojaTecnica2o Sem'!D19</f>
        <v>56700</v>
      </c>
      <c r="E47" s="203">
        <f>+'HojaTecnica2o Sem'!E19</f>
        <v>45300</v>
      </c>
      <c r="F47" s="203">
        <f>+'HojaTecnica2o Sem'!F19</f>
        <v>48900</v>
      </c>
    </row>
    <row r="48" spans="1:11" x14ac:dyDescent="0.25">
      <c r="C48" s="188">
        <f>SUM(C42:C47)</f>
        <v>231675.17561027137</v>
      </c>
      <c r="D48" s="188">
        <f>SUM(D42:D47)</f>
        <v>274919.64995710825</v>
      </c>
      <c r="E48" s="188">
        <f>SUM(E42:E47)</f>
        <v>210875.23992017269</v>
      </c>
      <c r="F48" s="188">
        <f>SUM(F42:F47)</f>
        <v>227096.61451244768</v>
      </c>
    </row>
    <row r="49" spans="3:6" x14ac:dyDescent="0.25">
      <c r="C49" s="189">
        <f>-C35</f>
        <v>-9637.3537702702706</v>
      </c>
      <c r="D49" s="189">
        <f>-D35</f>
        <v>-3392.6712378378375</v>
      </c>
      <c r="E49" s="189">
        <f>-E35</f>
        <v>-12623.35618918919</v>
      </c>
      <c r="F49" s="189">
        <f>-F35</f>
        <v>-6037.6240405405406</v>
      </c>
    </row>
    <row r="50" spans="3:6" x14ac:dyDescent="0.25">
      <c r="C50" s="189">
        <f>-'HojaTecnica2o Sem'!C39</f>
        <v>-31793.45493052643</v>
      </c>
      <c r="D50" s="189">
        <f>-'HojaTecnica2o Sem'!D39</f>
        <v>-12225.590968133487</v>
      </c>
      <c r="E50" s="189">
        <f>-'HojaTecnica2o Sem'!E39</f>
        <v>-50278.196384662995</v>
      </c>
      <c r="F50" s="189">
        <f>-'HojaTecnica2o Sem'!F39</f>
        <v>-24532.525312832331</v>
      </c>
    </row>
    <row r="51" spans="3:6" x14ac:dyDescent="0.25">
      <c r="C51" s="188">
        <f>+C48+C49+C50</f>
        <v>190244.36690947466</v>
      </c>
      <c r="D51" s="188">
        <f>+D48+D49+D50</f>
        <v>259301.38775113696</v>
      </c>
      <c r="E51" s="188">
        <f>+E48+E49+E50</f>
        <v>147973.68734632051</v>
      </c>
      <c r="F51" s="188">
        <f>+F48+F49+F50</f>
        <v>196526.46515907481</v>
      </c>
    </row>
    <row r="52" spans="3:6" x14ac:dyDescent="0.25">
      <c r="D52" s="187"/>
      <c r="E52" s="187"/>
    </row>
    <row r="53" spans="3:6" x14ac:dyDescent="0.25">
      <c r="D53" s="187"/>
    </row>
    <row r="54" spans="3:6" x14ac:dyDescent="0.25">
      <c r="D54" s="187"/>
    </row>
  </sheetData>
  <mergeCells count="6">
    <mergeCell ref="C41:F41"/>
    <mergeCell ref="A36:B36"/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8"/>
  <sheetViews>
    <sheetView zoomScale="120" zoomScaleNormal="120" workbookViewId="0">
      <selection activeCell="C23" sqref="C23"/>
    </sheetView>
  </sheetViews>
  <sheetFormatPr baseColWidth="10" defaultRowHeight="15" x14ac:dyDescent="0.25"/>
  <cols>
    <col min="1" max="1" width="28.5703125" customWidth="1"/>
    <col min="4" max="4" width="17.7109375" customWidth="1"/>
    <col min="5" max="5" width="11.85546875" customWidth="1"/>
    <col min="6" max="6" width="12.140625" customWidth="1"/>
    <col min="7" max="7" width="12.85546875" customWidth="1"/>
    <col min="8" max="8" width="10.85546875" customWidth="1"/>
    <col min="9" max="9" width="15.7109375" customWidth="1"/>
  </cols>
  <sheetData>
    <row r="1" spans="1:9" ht="15.75" x14ac:dyDescent="0.25">
      <c r="A1" s="40" t="s">
        <v>60</v>
      </c>
    </row>
    <row r="2" spans="1:9" ht="15.75" x14ac:dyDescent="0.25">
      <c r="A2" s="41" t="s">
        <v>61</v>
      </c>
    </row>
    <row r="4" spans="1:9" ht="30" customHeight="1" x14ac:dyDescent="0.25">
      <c r="A4" s="19"/>
      <c r="B4" s="20"/>
      <c r="C4" s="20"/>
      <c r="D4" s="21" t="s">
        <v>31</v>
      </c>
      <c r="E4" s="39" t="s">
        <v>1</v>
      </c>
      <c r="F4" s="39" t="s">
        <v>2</v>
      </c>
      <c r="G4" s="39" t="s">
        <v>1</v>
      </c>
      <c r="H4" s="39" t="s">
        <v>2</v>
      </c>
      <c r="I4" s="39" t="s">
        <v>3</v>
      </c>
    </row>
    <row r="5" spans="1:9" ht="15.75" x14ac:dyDescent="0.25">
      <c r="A5" s="22" t="s">
        <v>4</v>
      </c>
      <c r="B5" s="23" t="s">
        <v>32</v>
      </c>
      <c r="C5" s="23" t="s">
        <v>33</v>
      </c>
      <c r="D5" s="24" t="s">
        <v>34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</row>
    <row r="6" spans="1:9" ht="15.75" x14ac:dyDescent="0.25">
      <c r="A6" s="26" t="s">
        <v>35</v>
      </c>
      <c r="B6" s="27"/>
      <c r="C6" s="27"/>
      <c r="D6" s="28"/>
      <c r="E6" s="29"/>
      <c r="F6" s="29"/>
      <c r="G6" s="29"/>
      <c r="H6" s="29"/>
      <c r="I6" s="29"/>
    </row>
    <row r="7" spans="1:9" ht="15.75" x14ac:dyDescent="0.25">
      <c r="A7" s="30" t="s">
        <v>36</v>
      </c>
      <c r="B7" s="31">
        <v>40000</v>
      </c>
      <c r="C7" s="32">
        <v>0.2</v>
      </c>
      <c r="D7" s="33">
        <f>(B7*C7)/2</f>
        <v>4000</v>
      </c>
      <c r="E7" s="29">
        <f>(D7*80%)/4</f>
        <v>800</v>
      </c>
      <c r="F7" s="29">
        <f>(D7*80%)/4</f>
        <v>800</v>
      </c>
      <c r="G7" s="29">
        <f>(D7*80%)/4</f>
        <v>800</v>
      </c>
      <c r="H7" s="29">
        <f>(D7*80%)/4</f>
        <v>800</v>
      </c>
      <c r="I7" s="29">
        <f>D7*20%</f>
        <v>800</v>
      </c>
    </row>
    <row r="8" spans="1:9" ht="15.75" x14ac:dyDescent="0.25">
      <c r="A8" s="30" t="s">
        <v>37</v>
      </c>
      <c r="B8" s="31">
        <v>80000</v>
      </c>
      <c r="C8" s="32">
        <v>0.05</v>
      </c>
      <c r="D8" s="33">
        <f>(B8*C8)/2</f>
        <v>2000</v>
      </c>
      <c r="E8" s="29">
        <f>D8/4</f>
        <v>500</v>
      </c>
      <c r="F8" s="29">
        <f>D8/4</f>
        <v>500</v>
      </c>
      <c r="G8" s="29">
        <f>D8/4</f>
        <v>500</v>
      </c>
      <c r="H8" s="29">
        <f>D8/4</f>
        <v>500</v>
      </c>
      <c r="I8" s="29"/>
    </row>
    <row r="9" spans="1:9" ht="15.75" x14ac:dyDescent="0.25">
      <c r="A9" s="30" t="s">
        <v>38</v>
      </c>
      <c r="B9" s="31">
        <v>10000</v>
      </c>
      <c r="C9" s="32">
        <v>0.2</v>
      </c>
      <c r="D9" s="33">
        <f>(B9*C9)/2</f>
        <v>1000</v>
      </c>
      <c r="E9" s="29"/>
      <c r="F9" s="29"/>
      <c r="G9" s="29"/>
      <c r="H9" s="29"/>
      <c r="I9" s="29">
        <f>D9</f>
        <v>1000</v>
      </c>
    </row>
    <row r="10" spans="1:9" ht="15.75" x14ac:dyDescent="0.25">
      <c r="A10" s="30" t="s">
        <v>39</v>
      </c>
      <c r="B10" s="31">
        <v>80000</v>
      </c>
      <c r="C10" s="32">
        <v>0.2</v>
      </c>
      <c r="D10" s="33">
        <f>(B10*C10)/2</f>
        <v>8000</v>
      </c>
      <c r="E10" s="29">
        <f>(D10*75%)/2</f>
        <v>3000</v>
      </c>
      <c r="F10" s="29">
        <f>(D10*25%)/2</f>
        <v>1000</v>
      </c>
      <c r="G10" s="29">
        <f>(D10*75%)/2</f>
        <v>3000</v>
      </c>
      <c r="H10" s="29">
        <f>(D10*25%)/2</f>
        <v>1000</v>
      </c>
      <c r="I10" s="29"/>
    </row>
    <row r="11" spans="1:9" ht="15.75" x14ac:dyDescent="0.25">
      <c r="A11" s="30" t="s">
        <v>40</v>
      </c>
      <c r="B11" s="31">
        <v>75000</v>
      </c>
      <c r="C11" s="32">
        <v>0.05</v>
      </c>
      <c r="D11" s="34">
        <f>(B11*C11)/2</f>
        <v>1875</v>
      </c>
      <c r="E11" s="35"/>
      <c r="F11" s="35"/>
      <c r="G11" s="35"/>
      <c r="H11" s="35"/>
      <c r="I11" s="35">
        <f>D11</f>
        <v>1875</v>
      </c>
    </row>
    <row r="12" spans="1:9" ht="15.75" x14ac:dyDescent="0.25">
      <c r="A12" s="26"/>
      <c r="B12" s="36"/>
      <c r="C12" s="36"/>
      <c r="D12" s="37">
        <f t="shared" ref="D12:I12" si="0">SUM(D7:D11)</f>
        <v>16875</v>
      </c>
      <c r="E12" s="37">
        <f t="shared" si="0"/>
        <v>4300</v>
      </c>
      <c r="F12" s="37">
        <f t="shared" si="0"/>
        <v>2300</v>
      </c>
      <c r="G12" s="37">
        <f t="shared" si="0"/>
        <v>4300</v>
      </c>
      <c r="H12" s="37">
        <f t="shared" si="0"/>
        <v>2300</v>
      </c>
      <c r="I12" s="37">
        <f t="shared" si="0"/>
        <v>3675</v>
      </c>
    </row>
    <row r="13" spans="1:9" ht="15.75" x14ac:dyDescent="0.25">
      <c r="A13" s="26" t="s">
        <v>41</v>
      </c>
      <c r="B13" s="31"/>
      <c r="C13" s="32"/>
      <c r="D13" s="33"/>
      <c r="E13" s="29"/>
      <c r="F13" s="29"/>
      <c r="G13" s="29"/>
      <c r="H13" s="29"/>
      <c r="I13" s="29"/>
    </row>
    <row r="14" spans="1:9" ht="15.75" x14ac:dyDescent="0.25">
      <c r="A14" s="30" t="s">
        <v>37</v>
      </c>
      <c r="B14" s="31"/>
      <c r="C14" s="32"/>
      <c r="D14" s="33">
        <v>4800</v>
      </c>
      <c r="E14" s="29">
        <f>D14/4</f>
        <v>1200</v>
      </c>
      <c r="F14" s="29">
        <f>D14/4</f>
        <v>1200</v>
      </c>
      <c r="G14" s="29">
        <f>D14/4</f>
        <v>1200</v>
      </c>
      <c r="H14" s="29">
        <f>D14/4</f>
        <v>1200</v>
      </c>
      <c r="I14" s="29"/>
    </row>
    <row r="15" spans="1:9" ht="15.75" x14ac:dyDescent="0.25">
      <c r="A15" s="30" t="s">
        <v>42</v>
      </c>
      <c r="B15" s="31"/>
      <c r="C15" s="32"/>
      <c r="D15" s="33">
        <v>4000</v>
      </c>
      <c r="E15" s="29">
        <f>(D15*75%)/2</f>
        <v>1500</v>
      </c>
      <c r="F15" s="29">
        <f>(D15*25%)/2</f>
        <v>500</v>
      </c>
      <c r="G15" s="29">
        <f>(D15*75%)/2</f>
        <v>1500</v>
      </c>
      <c r="H15" s="29">
        <f>(D15*25%)/2</f>
        <v>500</v>
      </c>
      <c r="I15" s="29"/>
    </row>
    <row r="16" spans="1:9" ht="15.75" x14ac:dyDescent="0.25">
      <c r="A16" s="30" t="s">
        <v>9</v>
      </c>
      <c r="B16" s="31"/>
      <c r="C16" s="32"/>
      <c r="D16" s="34">
        <v>1500</v>
      </c>
      <c r="E16" s="35"/>
      <c r="F16" s="35"/>
      <c r="G16" s="35"/>
      <c r="H16" s="35"/>
      <c r="I16" s="35">
        <v>1500</v>
      </c>
    </row>
    <row r="17" spans="1:9" ht="15.75" x14ac:dyDescent="0.25">
      <c r="A17" s="26"/>
      <c r="B17" s="36"/>
      <c r="C17" s="38"/>
      <c r="D17" s="37">
        <f t="shared" ref="D17:I17" si="1">SUM(D14:D16)</f>
        <v>10300</v>
      </c>
      <c r="E17" s="37">
        <f t="shared" si="1"/>
        <v>2700</v>
      </c>
      <c r="F17" s="37">
        <f t="shared" si="1"/>
        <v>1700</v>
      </c>
      <c r="G17" s="37">
        <f t="shared" si="1"/>
        <v>2700</v>
      </c>
      <c r="H17" s="37">
        <f t="shared" si="1"/>
        <v>1700</v>
      </c>
      <c r="I17" s="37">
        <f t="shared" si="1"/>
        <v>1500</v>
      </c>
    </row>
    <row r="18" spans="1:9" ht="15.75" x14ac:dyDescent="0.25">
      <c r="A18" s="22"/>
      <c r="B18" s="23"/>
      <c r="C18" s="23"/>
      <c r="D18" s="24"/>
      <c r="E18" s="35"/>
      <c r="F18" s="35"/>
      <c r="G18" s="35"/>
      <c r="H18" s="35"/>
      <c r="I18" s="35"/>
    </row>
  </sheetData>
  <pageMargins left="0.70866141732283472" right="0.70866141732283472" top="0.74803149606299213" bottom="0.74803149606299213" header="0.31496062992125984" footer="0.31496062992125984"/>
  <pageSetup scale="9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291"/>
  <sheetViews>
    <sheetView topLeftCell="B1" workbookViewId="0">
      <selection activeCell="J21" sqref="J21"/>
    </sheetView>
  </sheetViews>
  <sheetFormatPr baseColWidth="10" defaultRowHeight="15" x14ac:dyDescent="0.25"/>
  <cols>
    <col min="1" max="1" width="6.140625" hidden="1" customWidth="1"/>
    <col min="2" max="2" width="53.28515625" customWidth="1"/>
    <col min="4" max="4" width="17.5703125" customWidth="1"/>
    <col min="5" max="5" width="20.42578125" customWidth="1"/>
    <col min="6" max="6" width="12" bestFit="1" customWidth="1"/>
  </cols>
  <sheetData>
    <row r="2" spans="2:5" ht="15.75" x14ac:dyDescent="0.25">
      <c r="B2" s="216" t="s">
        <v>60</v>
      </c>
      <c r="C2" s="216"/>
      <c r="D2" s="216"/>
      <c r="E2" s="216"/>
    </row>
    <row r="3" spans="2:5" ht="15.75" x14ac:dyDescent="0.25">
      <c r="B3" s="217" t="s">
        <v>118</v>
      </c>
      <c r="C3" s="217"/>
      <c r="D3" s="217"/>
      <c r="E3" s="217"/>
    </row>
    <row r="4" spans="2:5" ht="15.75" x14ac:dyDescent="0.25">
      <c r="B4" s="53" t="s">
        <v>69</v>
      </c>
      <c r="C4" s="51"/>
      <c r="D4" s="52"/>
      <c r="E4" s="51"/>
    </row>
    <row r="5" spans="2:5" ht="15.75" x14ac:dyDescent="0.25">
      <c r="B5" s="60" t="s">
        <v>36</v>
      </c>
      <c r="C5" s="227"/>
      <c r="D5" s="55">
        <v>40000</v>
      </c>
      <c r="E5" s="55"/>
    </row>
    <row r="6" spans="2:5" ht="15.75" x14ac:dyDescent="0.25">
      <c r="B6" s="60" t="s">
        <v>70</v>
      </c>
      <c r="C6" s="227"/>
      <c r="D6" s="55">
        <v>80000</v>
      </c>
      <c r="E6" s="55"/>
    </row>
    <row r="7" spans="2:5" ht="15.75" x14ac:dyDescent="0.25">
      <c r="B7" s="60" t="s">
        <v>71</v>
      </c>
      <c r="C7" s="227"/>
      <c r="D7" s="55">
        <v>10000</v>
      </c>
      <c r="E7" s="55"/>
    </row>
    <row r="8" spans="2:5" ht="15.75" x14ac:dyDescent="0.25">
      <c r="B8" s="60" t="s">
        <v>72</v>
      </c>
      <c r="C8" s="227"/>
      <c r="D8" s="55">
        <v>300000</v>
      </c>
      <c r="E8" s="55"/>
    </row>
    <row r="9" spans="2:5" ht="15.75" x14ac:dyDescent="0.25">
      <c r="B9" s="60" t="s">
        <v>73</v>
      </c>
      <c r="C9" s="227"/>
      <c r="D9" s="55">
        <v>80000</v>
      </c>
      <c r="E9" s="55"/>
    </row>
    <row r="10" spans="2:5" ht="15.75" x14ac:dyDescent="0.25">
      <c r="B10" s="60" t="s">
        <v>74</v>
      </c>
      <c r="C10" s="227"/>
      <c r="D10" s="55">
        <v>80000</v>
      </c>
      <c r="E10" s="55"/>
    </row>
    <row r="11" spans="2:5" ht="15.75" x14ac:dyDescent="0.25">
      <c r="B11" s="60" t="s">
        <v>75</v>
      </c>
      <c r="C11" s="227"/>
      <c r="D11" s="55">
        <v>28000</v>
      </c>
      <c r="E11" s="55"/>
    </row>
    <row r="12" spans="2:5" ht="15.75" x14ac:dyDescent="0.25">
      <c r="B12" s="60" t="s">
        <v>76</v>
      </c>
      <c r="C12" s="227"/>
      <c r="D12" s="55">
        <v>850000</v>
      </c>
      <c r="E12" s="55"/>
    </row>
    <row r="13" spans="2:5" ht="15.75" x14ac:dyDescent="0.25">
      <c r="B13" s="60" t="s">
        <v>77</v>
      </c>
      <c r="C13" s="227"/>
      <c r="D13" s="55">
        <v>880000</v>
      </c>
      <c r="E13" s="55"/>
    </row>
    <row r="14" spans="2:5" ht="15.75" x14ac:dyDescent="0.25">
      <c r="B14" s="228" t="s">
        <v>78</v>
      </c>
      <c r="C14" s="227"/>
      <c r="D14" s="55"/>
      <c r="E14" s="55">
        <v>10000</v>
      </c>
    </row>
    <row r="15" spans="2:5" ht="15.75" x14ac:dyDescent="0.25">
      <c r="B15" s="228" t="s">
        <v>79</v>
      </c>
      <c r="C15" s="227"/>
      <c r="D15" s="55"/>
      <c r="E15" s="55">
        <v>40000</v>
      </c>
    </row>
    <row r="16" spans="2:5" ht="15.75" x14ac:dyDescent="0.25">
      <c r="B16" s="228" t="s">
        <v>80</v>
      </c>
      <c r="C16" s="227"/>
      <c r="D16" s="55"/>
      <c r="E16" s="55">
        <v>2298000</v>
      </c>
    </row>
    <row r="17" spans="2:5" ht="16.5" thickBot="1" x14ac:dyDescent="0.3">
      <c r="B17" s="181" t="s">
        <v>81</v>
      </c>
      <c r="C17" s="51"/>
      <c r="D17" s="56">
        <v>2348000</v>
      </c>
      <c r="E17" s="56">
        <v>2348000</v>
      </c>
    </row>
    <row r="18" spans="2:5" ht="16.5" thickTop="1" x14ac:dyDescent="0.25">
      <c r="B18" s="51"/>
      <c r="C18" s="51"/>
      <c r="D18" s="52"/>
      <c r="E18" s="52"/>
    </row>
    <row r="19" spans="2:5" ht="15.75" x14ac:dyDescent="0.25">
      <c r="B19" s="53" t="s">
        <v>82</v>
      </c>
      <c r="C19" s="51"/>
      <c r="D19" s="52"/>
      <c r="E19" s="52"/>
    </row>
    <row r="20" spans="2:5" ht="15.75" x14ac:dyDescent="0.25">
      <c r="B20" s="60" t="s">
        <v>83</v>
      </c>
      <c r="C20" s="227"/>
      <c r="D20" s="55">
        <f>'HojaTecnica1er Sem'!D7</f>
        <v>28000</v>
      </c>
      <c r="E20" s="55"/>
    </row>
    <row r="21" spans="2:5" ht="15.75" x14ac:dyDescent="0.25">
      <c r="B21" s="60" t="s">
        <v>84</v>
      </c>
      <c r="C21" s="227"/>
      <c r="D21" s="55">
        <f>'HojaTecnica1er Sem'!F7</f>
        <v>12000</v>
      </c>
      <c r="E21" s="55"/>
    </row>
    <row r="22" spans="2:5" ht="15.75" x14ac:dyDescent="0.25">
      <c r="B22" s="228" t="s">
        <v>77</v>
      </c>
      <c r="C22" s="227"/>
      <c r="D22" s="55"/>
      <c r="E22" s="55">
        <f>SUM(D20:D21)</f>
        <v>40000</v>
      </c>
    </row>
    <row r="23" spans="2:5" ht="16.5" thickBot="1" x14ac:dyDescent="0.3">
      <c r="B23" s="181" t="s">
        <v>85</v>
      </c>
      <c r="C23" s="51"/>
      <c r="D23" s="56">
        <f>SUM(D20:D22)</f>
        <v>40000</v>
      </c>
      <c r="E23" s="56">
        <f>SUM(E20:E22)</f>
        <v>40000</v>
      </c>
    </row>
    <row r="24" spans="2:5" ht="16.5" thickTop="1" x14ac:dyDescent="0.25">
      <c r="B24" s="51"/>
      <c r="C24" s="51"/>
      <c r="D24" s="52"/>
      <c r="E24" s="52"/>
    </row>
    <row r="25" spans="2:5" ht="15.75" x14ac:dyDescent="0.25">
      <c r="B25" s="53" t="s">
        <v>86</v>
      </c>
      <c r="C25" s="51"/>
      <c r="D25" s="52"/>
      <c r="E25" s="52"/>
    </row>
    <row r="26" spans="2:5" ht="15.75" x14ac:dyDescent="0.25">
      <c r="B26" s="54" t="s">
        <v>87</v>
      </c>
      <c r="C26" s="51"/>
      <c r="D26" s="52">
        <f>+'HojaTecnica1er Sem'!C29</f>
        <v>112747.07540540541</v>
      </c>
      <c r="E26" s="52"/>
    </row>
    <row r="27" spans="2:5" ht="15.75" x14ac:dyDescent="0.25">
      <c r="B27" s="54" t="s">
        <v>89</v>
      </c>
      <c r="C27" s="51"/>
      <c r="D27" s="52">
        <f>+'HojaTecnica1er Sem'!D29</f>
        <v>141633.56189189188</v>
      </c>
      <c r="E27" s="52"/>
    </row>
    <row r="28" spans="2:5" ht="15.75" x14ac:dyDescent="0.25">
      <c r="B28" s="54" t="s">
        <v>88</v>
      </c>
      <c r="C28" s="51"/>
      <c r="D28" s="52">
        <f>+'HojaTecnica1er Sem'!E29</f>
        <v>98233.561891891892</v>
      </c>
      <c r="E28" s="52"/>
    </row>
    <row r="29" spans="2:5" ht="15.75" x14ac:dyDescent="0.25">
      <c r="B29" s="54" t="s">
        <v>90</v>
      </c>
      <c r="C29" s="51"/>
      <c r="D29" s="52">
        <f>+'HojaTecnica1er Sem'!F29</f>
        <v>108752.48081081081</v>
      </c>
      <c r="E29" s="52"/>
    </row>
    <row r="30" spans="2:5" ht="15.75" x14ac:dyDescent="0.25">
      <c r="B30" s="54" t="s">
        <v>130</v>
      </c>
      <c r="C30" s="51"/>
      <c r="D30" s="52">
        <f>+'HojaTecnica1er Sem'!G29</f>
        <v>24975</v>
      </c>
      <c r="E30" s="52"/>
    </row>
    <row r="31" spans="2:5" ht="15.75" x14ac:dyDescent="0.25">
      <c r="B31" s="54" t="s">
        <v>132</v>
      </c>
      <c r="C31" s="51"/>
      <c r="D31" s="52">
        <f>+'HojaTecnica1er Sem'!J19</f>
        <v>95833.32</v>
      </c>
      <c r="E31" s="52"/>
    </row>
    <row r="32" spans="2:5" ht="15.75" x14ac:dyDescent="0.25">
      <c r="B32" s="183" t="s">
        <v>77</v>
      </c>
      <c r="C32" s="51"/>
      <c r="D32" s="52"/>
      <c r="E32" s="52">
        <f>-'HojaTecnica1er Sem'!K29</f>
        <v>504300</v>
      </c>
    </row>
    <row r="33" spans="2:6" ht="15.75" x14ac:dyDescent="0.25">
      <c r="B33" s="60" t="s">
        <v>76</v>
      </c>
      <c r="C33" s="51"/>
      <c r="D33" s="52"/>
      <c r="E33" s="52">
        <f>-'HojaTecnica1er Sem'!H8</f>
        <v>61000</v>
      </c>
    </row>
    <row r="34" spans="2:6" ht="15.75" x14ac:dyDescent="0.25">
      <c r="B34" s="183" t="s">
        <v>131</v>
      </c>
      <c r="E34" s="52">
        <v>16875</v>
      </c>
    </row>
    <row r="35" spans="2:6" ht="16.5" thickBot="1" x14ac:dyDescent="0.3">
      <c r="B35" s="182" t="s">
        <v>133</v>
      </c>
      <c r="C35" s="51"/>
      <c r="D35" s="56">
        <f>SUM(D26:D32)</f>
        <v>582175</v>
      </c>
      <c r="E35" s="56">
        <f>SUM(E32:E34)</f>
        <v>582175</v>
      </c>
      <c r="F35" s="178"/>
    </row>
    <row r="36" spans="2:6" ht="16.5" thickTop="1" x14ac:dyDescent="0.25">
      <c r="B36" s="51"/>
      <c r="C36" s="51"/>
      <c r="D36" s="52"/>
      <c r="E36" s="52"/>
    </row>
    <row r="37" spans="2:6" ht="15.75" x14ac:dyDescent="0.25">
      <c r="B37" s="53" t="s">
        <v>91</v>
      </c>
      <c r="C37" s="51"/>
      <c r="D37" s="52"/>
      <c r="E37" s="52"/>
    </row>
    <row r="38" spans="2:6" ht="15.75" x14ac:dyDescent="0.25">
      <c r="B38" s="199" t="s">
        <v>92</v>
      </c>
      <c r="C38" s="201"/>
      <c r="D38" s="200">
        <f>SUM(E39:E43)</f>
        <v>35493.925866378377</v>
      </c>
      <c r="E38" s="55"/>
      <c r="F38" s="178">
        <f>+'HojaTecnica1er Sem'!I35</f>
        <v>35493.925866378384</v>
      </c>
    </row>
    <row r="39" spans="2:6" ht="15.75" x14ac:dyDescent="0.25">
      <c r="B39" s="54" t="s">
        <v>87</v>
      </c>
      <c r="C39" s="51"/>
      <c r="D39" s="52"/>
      <c r="E39" s="52">
        <f>'HojaTecnica1er Sem'!C35</f>
        <v>9637.3537702702706</v>
      </c>
    </row>
    <row r="40" spans="2:6" ht="15.75" x14ac:dyDescent="0.25">
      <c r="B40" s="54" t="s">
        <v>89</v>
      </c>
      <c r="C40" s="51"/>
      <c r="D40" s="52"/>
      <c r="E40" s="52">
        <f>'HojaTecnica1er Sem'!D35</f>
        <v>3392.6712378378375</v>
      </c>
    </row>
    <row r="41" spans="2:6" ht="15.75" x14ac:dyDescent="0.25">
      <c r="B41" s="54" t="s">
        <v>88</v>
      </c>
      <c r="C41" s="51"/>
      <c r="D41" s="52"/>
      <c r="E41" s="52">
        <f>'HojaTecnica1er Sem'!E35</f>
        <v>12623.35618918919</v>
      </c>
    </row>
    <row r="42" spans="2:6" ht="15.75" x14ac:dyDescent="0.25">
      <c r="B42" s="54" t="s">
        <v>90</v>
      </c>
      <c r="C42" s="51"/>
      <c r="D42" s="52"/>
      <c r="E42" s="52">
        <f>'HojaTecnica1er Sem'!F35</f>
        <v>6037.6240405405406</v>
      </c>
    </row>
    <row r="43" spans="2:6" ht="19.5" x14ac:dyDescent="0.4">
      <c r="B43" s="192" t="s">
        <v>93</v>
      </c>
      <c r="C43" s="193"/>
      <c r="D43" s="194"/>
      <c r="E43" s="194">
        <f>(E39+E41+E40+E42)*12%</f>
        <v>3802.9206285405403</v>
      </c>
    </row>
    <row r="44" spans="2:6" ht="16.5" thickBot="1" x14ac:dyDescent="0.3">
      <c r="B44" s="181" t="s">
        <v>94</v>
      </c>
      <c r="C44" s="51"/>
      <c r="D44" s="56">
        <f>SUM(D38:D43)</f>
        <v>35493.925866378377</v>
      </c>
      <c r="E44" s="56">
        <f>SUM(E39:E43)</f>
        <v>35493.925866378377</v>
      </c>
    </row>
    <row r="45" spans="2:6" ht="16.5" thickTop="1" x14ac:dyDescent="0.25">
      <c r="B45" s="51"/>
      <c r="C45" s="51"/>
      <c r="D45" s="52"/>
      <c r="E45" s="52"/>
    </row>
    <row r="46" spans="2:6" ht="15.75" x14ac:dyDescent="0.25">
      <c r="B46" s="53" t="s">
        <v>95</v>
      </c>
      <c r="C46" s="51"/>
      <c r="D46" s="52"/>
      <c r="E46" s="52"/>
    </row>
    <row r="47" spans="2:6" ht="19.5" x14ac:dyDescent="0.4">
      <c r="B47" s="195" t="s">
        <v>93</v>
      </c>
      <c r="C47" s="193"/>
      <c r="D47" s="194">
        <f>E43</f>
        <v>3802.9206285405403</v>
      </c>
      <c r="E47" s="52"/>
    </row>
    <row r="48" spans="2:6" ht="15.75" x14ac:dyDescent="0.25">
      <c r="B48" s="183" t="s">
        <v>77</v>
      </c>
      <c r="C48" s="51"/>
      <c r="D48" s="52"/>
      <c r="E48" s="52">
        <f>E43</f>
        <v>3802.9206285405403</v>
      </c>
    </row>
    <row r="49" spans="2:5" ht="16.5" thickBot="1" x14ac:dyDescent="0.3">
      <c r="B49" s="181" t="s">
        <v>96</v>
      </c>
      <c r="C49" s="51"/>
      <c r="D49" s="56">
        <f>SUM(D47:D48)</f>
        <v>3802.9206285405403</v>
      </c>
      <c r="E49" s="56">
        <f>SUM(E48)</f>
        <v>3802.9206285405403</v>
      </c>
    </row>
    <row r="50" spans="2:5" ht="16.5" thickTop="1" x14ac:dyDescent="0.25">
      <c r="B50" s="51"/>
      <c r="C50" s="51"/>
      <c r="D50" s="52"/>
      <c r="E50" s="52"/>
    </row>
    <row r="260" spans="2:5" ht="15.75" x14ac:dyDescent="0.25">
      <c r="B260" s="51"/>
      <c r="C260" s="51"/>
      <c r="D260" s="51"/>
      <c r="E260" s="51"/>
    </row>
    <row r="261" spans="2:5" ht="15.75" x14ac:dyDescent="0.25">
      <c r="B261" s="51"/>
      <c r="C261" s="51"/>
      <c r="D261" s="51"/>
      <c r="E261" s="58"/>
    </row>
    <row r="262" spans="2:5" ht="15.75" x14ac:dyDescent="0.25">
      <c r="B262" s="41"/>
      <c r="C262" s="41"/>
      <c r="D262" s="41"/>
      <c r="E262" s="41"/>
    </row>
    <row r="263" spans="2:5" ht="15.75" x14ac:dyDescent="0.25">
      <c r="B263" s="41"/>
      <c r="C263" s="41"/>
      <c r="D263" s="41"/>
      <c r="E263" s="41"/>
    </row>
    <row r="264" spans="2:5" ht="15.75" x14ac:dyDescent="0.25">
      <c r="B264" s="41"/>
      <c r="C264" s="41"/>
      <c r="D264" s="41"/>
      <c r="E264" s="41"/>
    </row>
    <row r="265" spans="2:5" ht="15.75" x14ac:dyDescent="0.25">
      <c r="B265" s="41"/>
      <c r="C265" s="41"/>
      <c r="D265" s="41"/>
      <c r="E265" s="41"/>
    </row>
    <row r="266" spans="2:5" ht="15.75" x14ac:dyDescent="0.25">
      <c r="B266" s="41"/>
      <c r="C266" s="41"/>
      <c r="D266" s="41"/>
      <c r="E266" s="41"/>
    </row>
    <row r="267" spans="2:5" ht="15.75" x14ac:dyDescent="0.25">
      <c r="B267" s="41"/>
      <c r="C267" s="41"/>
      <c r="D267" s="41"/>
      <c r="E267" s="41"/>
    </row>
    <row r="268" spans="2:5" ht="15.75" x14ac:dyDescent="0.25">
      <c r="B268" s="41"/>
      <c r="C268" s="41"/>
      <c r="D268" s="41"/>
      <c r="E268" s="41"/>
    </row>
    <row r="269" spans="2:5" ht="15.75" x14ac:dyDescent="0.25">
      <c r="B269" s="41"/>
      <c r="C269" s="41"/>
      <c r="D269" s="41"/>
      <c r="E269" s="41"/>
    </row>
    <row r="270" spans="2:5" ht="15.75" x14ac:dyDescent="0.25">
      <c r="B270" s="41"/>
      <c r="C270" s="41"/>
      <c r="D270" s="41"/>
      <c r="E270" s="41"/>
    </row>
    <row r="271" spans="2:5" ht="15.75" x14ac:dyDescent="0.25">
      <c r="B271" s="41"/>
      <c r="C271" s="41"/>
      <c r="D271" s="41"/>
      <c r="E271" s="41"/>
    </row>
    <row r="272" spans="2:5" ht="15.75" x14ac:dyDescent="0.25">
      <c r="B272" s="41"/>
      <c r="C272" s="41"/>
      <c r="D272" s="41"/>
      <c r="E272" s="41"/>
    </row>
    <row r="273" spans="2:5" ht="15.75" x14ac:dyDescent="0.25">
      <c r="B273" s="41"/>
      <c r="C273" s="41"/>
      <c r="D273" s="41"/>
      <c r="E273" s="41"/>
    </row>
    <row r="274" spans="2:5" ht="15.75" x14ac:dyDescent="0.25">
      <c r="B274" s="41"/>
      <c r="C274" s="41"/>
      <c r="D274" s="41"/>
      <c r="E274" s="41"/>
    </row>
    <row r="275" spans="2:5" ht="15.75" x14ac:dyDescent="0.25">
      <c r="B275" s="41"/>
      <c r="C275" s="41"/>
      <c r="D275" s="41"/>
      <c r="E275" s="41"/>
    </row>
    <row r="276" spans="2:5" ht="15.75" x14ac:dyDescent="0.25">
      <c r="B276" s="41"/>
      <c r="C276" s="41"/>
      <c r="D276" s="41"/>
      <c r="E276" s="41"/>
    </row>
    <row r="277" spans="2:5" ht="15.75" x14ac:dyDescent="0.25">
      <c r="B277" s="41"/>
      <c r="C277" s="41"/>
      <c r="D277" s="41"/>
      <c r="E277" s="41"/>
    </row>
    <row r="278" spans="2:5" ht="15.75" x14ac:dyDescent="0.25">
      <c r="B278" s="41"/>
      <c r="C278" s="41"/>
      <c r="D278" s="41"/>
      <c r="E278" s="41"/>
    </row>
    <row r="279" spans="2:5" ht="15.75" x14ac:dyDescent="0.25">
      <c r="B279" s="41"/>
      <c r="C279" s="41"/>
      <c r="D279" s="41"/>
      <c r="E279" s="41"/>
    </row>
    <row r="280" spans="2:5" ht="15.75" x14ac:dyDescent="0.25">
      <c r="B280" s="41"/>
      <c r="C280" s="41"/>
      <c r="D280" s="41"/>
      <c r="E280" s="41"/>
    </row>
    <row r="281" spans="2:5" ht="15.75" x14ac:dyDescent="0.25">
      <c r="B281" s="41"/>
      <c r="C281" s="41"/>
      <c r="D281" s="41"/>
      <c r="E281" s="41"/>
    </row>
    <row r="282" spans="2:5" ht="15.75" x14ac:dyDescent="0.25">
      <c r="B282" s="41"/>
      <c r="C282" s="41"/>
      <c r="D282" s="41"/>
      <c r="E282" s="41"/>
    </row>
    <row r="283" spans="2:5" ht="15.75" x14ac:dyDescent="0.25">
      <c r="B283" s="41"/>
      <c r="C283" s="41"/>
      <c r="D283" s="41"/>
      <c r="E283" s="41"/>
    </row>
    <row r="284" spans="2:5" ht="15.75" x14ac:dyDescent="0.25">
      <c r="B284" s="41"/>
      <c r="C284" s="41"/>
      <c r="D284" s="41"/>
      <c r="E284" s="41"/>
    </row>
    <row r="285" spans="2:5" ht="15.75" x14ac:dyDescent="0.25">
      <c r="B285" s="41"/>
      <c r="C285" s="41"/>
      <c r="D285" s="41"/>
      <c r="E285" s="41"/>
    </row>
    <row r="286" spans="2:5" ht="15.75" x14ac:dyDescent="0.25">
      <c r="B286" s="41"/>
      <c r="C286" s="41"/>
      <c r="D286" s="41"/>
      <c r="E286" s="41"/>
    </row>
    <row r="287" spans="2:5" ht="15.75" x14ac:dyDescent="0.25">
      <c r="B287" s="41"/>
      <c r="C287" s="41"/>
      <c r="D287" s="41"/>
      <c r="E287" s="41"/>
    </row>
    <row r="288" spans="2:5" ht="15.75" x14ac:dyDescent="0.25">
      <c r="B288" s="41"/>
      <c r="C288" s="41"/>
      <c r="D288" s="41"/>
      <c r="E288" s="41"/>
    </row>
    <row r="289" spans="2:5" ht="15.75" x14ac:dyDescent="0.25">
      <c r="B289" s="41"/>
      <c r="C289" s="41"/>
      <c r="D289" s="41"/>
      <c r="E289" s="41"/>
    </row>
    <row r="290" spans="2:5" ht="15.75" x14ac:dyDescent="0.25">
      <c r="B290" s="41"/>
      <c r="C290" s="41"/>
      <c r="D290" s="41"/>
      <c r="E290" s="41"/>
    </row>
    <row r="291" spans="2:5" ht="15.75" x14ac:dyDescent="0.25">
      <c r="B291" s="41"/>
      <c r="C291" s="41"/>
      <c r="D291" s="41"/>
      <c r="E291" s="41"/>
    </row>
  </sheetData>
  <mergeCells count="2">
    <mergeCell ref="B2:E2"/>
    <mergeCell ref="B3:E3"/>
  </mergeCells>
  <pageMargins left="0.51181102362204722" right="0.11811023622047245" top="0.55118110236220474" bottom="0.35433070866141736" header="0.31496062992125984" footer="0.31496062992125984"/>
  <pageSetup scale="8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5"/>
  <sheetViews>
    <sheetView zoomScale="75" zoomScaleNormal="75" workbookViewId="0">
      <selection activeCell="F26" sqref="F26"/>
    </sheetView>
  </sheetViews>
  <sheetFormatPr baseColWidth="10" defaultColWidth="17.7109375" defaultRowHeight="15" x14ac:dyDescent="0.25"/>
  <cols>
    <col min="1" max="1" width="57.140625" bestFit="1" customWidth="1"/>
    <col min="2" max="2" width="20" bestFit="1" customWidth="1"/>
    <col min="3" max="7" width="19.140625" bestFit="1" customWidth="1"/>
    <col min="8" max="8" width="17.85546875" bestFit="1" customWidth="1"/>
    <col min="11" max="11" width="17.85546875" bestFit="1" customWidth="1"/>
  </cols>
  <sheetData>
    <row r="1" spans="1:12" ht="15.75" x14ac:dyDescent="0.25">
      <c r="A1" s="221" t="s">
        <v>43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2" ht="15.75" x14ac:dyDescent="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2" ht="15.75" x14ac:dyDescent="0.25">
      <c r="A3" s="221" t="s">
        <v>120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2" ht="16.5" thickBot="1" x14ac:dyDescent="0.3">
      <c r="A4" s="222" t="s">
        <v>110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12" ht="48" thickBot="1" x14ac:dyDescent="0.3">
      <c r="A5" s="43" t="s">
        <v>44</v>
      </c>
      <c r="B5" s="50" t="s">
        <v>11</v>
      </c>
      <c r="C5" s="44" t="s">
        <v>45</v>
      </c>
      <c r="D5" s="44" t="s">
        <v>47</v>
      </c>
      <c r="E5" s="44" t="s">
        <v>46</v>
      </c>
      <c r="F5" s="44" t="s">
        <v>48</v>
      </c>
      <c r="G5" s="44" t="s">
        <v>49</v>
      </c>
      <c r="H5" s="50" t="s">
        <v>10</v>
      </c>
      <c r="I5" s="44" t="s">
        <v>52</v>
      </c>
      <c r="J5" s="44" t="s">
        <v>51</v>
      </c>
      <c r="K5" s="50" t="s">
        <v>50</v>
      </c>
    </row>
    <row r="6" spans="1:12" ht="18.75" x14ac:dyDescent="0.4">
      <c r="A6" s="75" t="s">
        <v>30</v>
      </c>
      <c r="B6" s="77">
        <f>SUM(C6:F6)</f>
        <v>96</v>
      </c>
      <c r="C6" s="76">
        <f>'HojaTecnica1er Sem'!C37</f>
        <v>19</v>
      </c>
      <c r="D6" s="76">
        <f>'HojaTecnica1er Sem'!D37</f>
        <v>49</v>
      </c>
      <c r="E6" s="76">
        <f>'HojaTecnica1er Sem'!E37</f>
        <v>9</v>
      </c>
      <c r="F6" s="76">
        <f>'HojaTecnica1er Sem'!F37</f>
        <v>19</v>
      </c>
      <c r="G6" s="77"/>
      <c r="H6" s="78"/>
      <c r="I6" s="77"/>
      <c r="J6" s="77"/>
      <c r="K6" s="79"/>
    </row>
    <row r="7" spans="1:12" ht="18.75" x14ac:dyDescent="0.4">
      <c r="A7" s="74" t="s">
        <v>53</v>
      </c>
      <c r="B7" s="85">
        <f>SUM(C7:F7)</f>
        <v>577675.67476216215</v>
      </c>
      <c r="C7" s="80">
        <f>'HojaTecnica1er Sem'!C38</f>
        <v>183109.72163513515</v>
      </c>
      <c r="D7" s="80">
        <f>'HojaTecnica1er Sem'!D38</f>
        <v>166240.89065405403</v>
      </c>
      <c r="E7" s="80">
        <f>'HojaTecnica1er Sem'!E38</f>
        <v>113610.2057027027</v>
      </c>
      <c r="F7" s="80">
        <f>'HojaTecnica1er Sem'!F38</f>
        <v>114714.85677027027</v>
      </c>
      <c r="G7" s="81">
        <f>'HojaTecnica1er Sem'!G30</f>
        <v>24975</v>
      </c>
      <c r="H7" s="82"/>
      <c r="I7" s="83"/>
      <c r="J7" s="83"/>
      <c r="K7" s="84"/>
    </row>
    <row r="8" spans="1:12" ht="19.5" x14ac:dyDescent="0.4">
      <c r="A8" s="145" t="s">
        <v>12</v>
      </c>
      <c r="B8" s="147">
        <f>SUM(B9:B13)</f>
        <v>76000</v>
      </c>
      <c r="C8" s="146">
        <f>SUM(C9:C13)</f>
        <v>18628.100204865947</v>
      </c>
      <c r="D8" s="146">
        <f>SUM(D9:D13)</f>
        <v>24586.088065216372</v>
      </c>
      <c r="E8" s="146">
        <f>SUM(E9:E13)</f>
        <v>15341.678028280796</v>
      </c>
      <c r="F8" s="146">
        <f>SUM(F9:F13)</f>
        <v>17444.133701636882</v>
      </c>
      <c r="G8" s="146"/>
      <c r="H8" s="156">
        <f>SUM(H9:H13)</f>
        <v>-76000</v>
      </c>
      <c r="I8" s="157">
        <f>SUM(I9:I11)</f>
        <v>0</v>
      </c>
      <c r="J8" s="157"/>
      <c r="K8" s="156">
        <f>SUM(K9:K13)</f>
        <v>0</v>
      </c>
    </row>
    <row r="9" spans="1:12" ht="15.75" x14ac:dyDescent="0.25">
      <c r="A9" s="49" t="s">
        <v>13</v>
      </c>
      <c r="B9" s="154">
        <f>SUM(C9:F9)</f>
        <v>19999.999999999996</v>
      </c>
      <c r="C9" s="86">
        <f>(400*50)*(C6/B6)</f>
        <v>3958.333333333333</v>
      </c>
      <c r="D9" s="86">
        <f>(400*50)*(D6/B6)</f>
        <v>10208.333333333332</v>
      </c>
      <c r="E9" s="86">
        <f>(400*50)*(E6/B6)</f>
        <v>1875</v>
      </c>
      <c r="F9" s="86">
        <f>(400*50)*(F6/B6)</f>
        <v>3958.333333333333</v>
      </c>
      <c r="G9" s="87"/>
      <c r="H9" s="158">
        <f>-(C9+E9+D9+F9)</f>
        <v>-19999.999999999996</v>
      </c>
      <c r="I9" s="154"/>
      <c r="J9" s="154"/>
      <c r="K9" s="154"/>
    </row>
    <row r="10" spans="1:12" ht="15.75" x14ac:dyDescent="0.25">
      <c r="A10" s="49" t="s">
        <v>14</v>
      </c>
      <c r="B10" s="154">
        <f>SUM(C10:F10)</f>
        <v>6000</v>
      </c>
      <c r="C10" s="86">
        <f>15*100</f>
        <v>1500</v>
      </c>
      <c r="D10" s="86">
        <f>15*100</f>
        <v>1500</v>
      </c>
      <c r="E10" s="86">
        <f>15*100</f>
        <v>1500</v>
      </c>
      <c r="F10" s="86">
        <f>15*100</f>
        <v>1500</v>
      </c>
      <c r="G10" s="87"/>
      <c r="H10" s="158">
        <f>-B10</f>
        <v>-6000</v>
      </c>
      <c r="I10" s="154"/>
      <c r="J10" s="154"/>
      <c r="K10" s="154"/>
    </row>
    <row r="11" spans="1:12" ht="15.75" x14ac:dyDescent="0.25">
      <c r="A11" s="49" t="s">
        <v>15</v>
      </c>
      <c r="B11" s="154">
        <f>SUM(C11:F11)</f>
        <v>20000</v>
      </c>
      <c r="C11" s="86">
        <v>5000</v>
      </c>
      <c r="D11" s="86">
        <v>5000</v>
      </c>
      <c r="E11" s="86">
        <v>5000</v>
      </c>
      <c r="F11" s="86">
        <v>5000</v>
      </c>
      <c r="G11" s="87"/>
      <c r="H11" s="158">
        <f>-(C11+E11+D11+F11)</f>
        <v>-20000</v>
      </c>
      <c r="I11" s="154"/>
      <c r="J11" s="154"/>
      <c r="K11" s="154"/>
    </row>
    <row r="12" spans="1:12" ht="15.75" x14ac:dyDescent="0.25">
      <c r="A12" s="49" t="s">
        <v>16</v>
      </c>
      <c r="B12" s="154">
        <f>SUM(C12:F12)</f>
        <v>20000</v>
      </c>
      <c r="C12" s="86">
        <v>5000</v>
      </c>
      <c r="D12" s="86">
        <v>5000</v>
      </c>
      <c r="E12" s="86">
        <v>5000</v>
      </c>
      <c r="F12" s="86">
        <v>5000</v>
      </c>
      <c r="G12" s="88"/>
      <c r="H12" s="158">
        <f>-(C12+E12+D12+F12)</f>
        <v>-20000</v>
      </c>
      <c r="I12" s="159"/>
      <c r="J12" s="159"/>
      <c r="K12" s="159"/>
    </row>
    <row r="13" spans="1:12" ht="15.75" x14ac:dyDescent="0.25">
      <c r="A13" s="49" t="s">
        <v>17</v>
      </c>
      <c r="B13" s="154">
        <f>SUM(C13:F13)</f>
        <v>10000</v>
      </c>
      <c r="C13" s="86">
        <f>10000*(C7/B7)</f>
        <v>3169.7668715326154</v>
      </c>
      <c r="D13" s="86">
        <f>10000*(D7/B7)</f>
        <v>2877.7547318830402</v>
      </c>
      <c r="E13" s="86">
        <f>10000*(E7/B7)</f>
        <v>1966.6780282807952</v>
      </c>
      <c r="F13" s="86">
        <f>10000*(F7/B7)</f>
        <v>1985.8003683035488</v>
      </c>
      <c r="G13" s="88"/>
      <c r="H13" s="158">
        <f>-(C13+E13+D13+F13)</f>
        <v>-10000</v>
      </c>
      <c r="I13" s="159"/>
      <c r="J13" s="159"/>
      <c r="K13" s="159"/>
      <c r="L13" s="178"/>
    </row>
    <row r="14" spans="1:12" ht="19.5" x14ac:dyDescent="0.4">
      <c r="A14" s="148" t="s">
        <v>18</v>
      </c>
      <c r="B14" s="150">
        <f>+C14+D14+E14+F14</f>
        <v>208000</v>
      </c>
      <c r="C14" s="149">
        <f t="shared" ref="C14:H14" si="0">SUM(C15:C18)</f>
        <v>52000</v>
      </c>
      <c r="D14" s="149">
        <f t="shared" si="0"/>
        <v>52000</v>
      </c>
      <c r="E14" s="149">
        <f t="shared" si="0"/>
        <v>52000</v>
      </c>
      <c r="F14" s="149">
        <f t="shared" si="0"/>
        <v>52000</v>
      </c>
      <c r="G14" s="149">
        <f t="shared" si="0"/>
        <v>0</v>
      </c>
      <c r="H14" s="160">
        <f t="shared" si="0"/>
        <v>0</v>
      </c>
      <c r="I14" s="161"/>
      <c r="J14" s="161"/>
      <c r="K14" s="160">
        <f>SUM(K15:K18)</f>
        <v>-208000</v>
      </c>
    </row>
    <row r="15" spans="1:12" ht="15.75" x14ac:dyDescent="0.25">
      <c r="A15" s="45" t="s">
        <v>23</v>
      </c>
      <c r="B15" s="154">
        <f>SUM(C15:F15)</f>
        <v>120000</v>
      </c>
      <c r="C15" s="89">
        <f>120000/4</f>
        <v>30000</v>
      </c>
      <c r="D15" s="89">
        <f>120000/4</f>
        <v>30000</v>
      </c>
      <c r="E15" s="89">
        <f>120000/4</f>
        <v>30000</v>
      </c>
      <c r="F15" s="89">
        <f>120000/4</f>
        <v>30000</v>
      </c>
      <c r="G15" s="90"/>
      <c r="H15" s="162"/>
      <c r="I15" s="163"/>
      <c r="J15" s="163"/>
      <c r="K15" s="155">
        <f>-(C15+E15+D15+F15+G15)</f>
        <v>-120000</v>
      </c>
    </row>
    <row r="16" spans="1:12" ht="15.75" x14ac:dyDescent="0.25">
      <c r="A16" s="45" t="s">
        <v>20</v>
      </c>
      <c r="B16" s="154">
        <f>SUM(C16:F16)</f>
        <v>40000</v>
      </c>
      <c r="C16" s="89">
        <f>40000/4</f>
        <v>10000</v>
      </c>
      <c r="D16" s="89">
        <f>40000/4</f>
        <v>10000</v>
      </c>
      <c r="E16" s="89">
        <f>40000/4</f>
        <v>10000</v>
      </c>
      <c r="F16" s="89">
        <f>40000/4</f>
        <v>10000</v>
      </c>
      <c r="G16" s="90"/>
      <c r="H16" s="162"/>
      <c r="I16" s="163"/>
      <c r="J16" s="163"/>
      <c r="K16" s="155">
        <f>-(C16+E16+D16+F16+G16)</f>
        <v>-40000</v>
      </c>
    </row>
    <row r="17" spans="1:11" ht="15.75" x14ac:dyDescent="0.25">
      <c r="A17" s="45" t="s">
        <v>21</v>
      </c>
      <c r="B17" s="154">
        <f>SUM(C17:F17)</f>
        <v>36000</v>
      </c>
      <c r="C17" s="89">
        <f>C15*30%</f>
        <v>9000</v>
      </c>
      <c r="D17" s="89">
        <f>D15*30%</f>
        <v>9000</v>
      </c>
      <c r="E17" s="89">
        <f>E15*30%</f>
        <v>9000</v>
      </c>
      <c r="F17" s="89">
        <f>F15*30%</f>
        <v>9000</v>
      </c>
      <c r="G17" s="90"/>
      <c r="H17" s="162"/>
      <c r="I17" s="164"/>
      <c r="J17" s="164"/>
      <c r="K17" s="155">
        <f>-(C17+E17+D17+F17+G17)</f>
        <v>-36000</v>
      </c>
    </row>
    <row r="18" spans="1:11" ht="15.75" x14ac:dyDescent="0.25">
      <c r="A18" s="45" t="s">
        <v>22</v>
      </c>
      <c r="B18" s="154">
        <f>SUM(C18:F18)</f>
        <v>12000</v>
      </c>
      <c r="C18" s="89">
        <f>C15*10%</f>
        <v>3000</v>
      </c>
      <c r="D18" s="89">
        <f>D15*10%</f>
        <v>3000</v>
      </c>
      <c r="E18" s="89">
        <f>E15*10%</f>
        <v>3000</v>
      </c>
      <c r="F18" s="89">
        <f>F15*10%</f>
        <v>3000</v>
      </c>
      <c r="G18" s="90"/>
      <c r="H18" s="162"/>
      <c r="I18" s="164"/>
      <c r="J18" s="164"/>
      <c r="K18" s="155">
        <f>-(C18+E18+D18+F18+G18)</f>
        <v>-12000</v>
      </c>
    </row>
    <row r="19" spans="1:11" ht="19.5" x14ac:dyDescent="0.4">
      <c r="A19" s="151" t="s">
        <v>24</v>
      </c>
      <c r="B19" s="150">
        <f>+C19+D19+E19+F19+G19</f>
        <v>304175</v>
      </c>
      <c r="C19" s="149">
        <f t="shared" ref="C19:F19" si="1">SUM(C20:C30)</f>
        <v>48300</v>
      </c>
      <c r="D19" s="149">
        <f t="shared" si="1"/>
        <v>56700</v>
      </c>
      <c r="E19" s="149">
        <f t="shared" si="1"/>
        <v>45300</v>
      </c>
      <c r="F19" s="149">
        <f t="shared" si="1"/>
        <v>48900</v>
      </c>
      <c r="G19" s="149">
        <f>SUM(G20:G30)</f>
        <v>104975</v>
      </c>
      <c r="H19" s="152">
        <f t="shared" ref="H19:K19" si="2">SUM(H20:H30)</f>
        <v>0</v>
      </c>
      <c r="I19" s="152">
        <f t="shared" si="2"/>
        <v>16875</v>
      </c>
      <c r="J19" s="152">
        <f t="shared" si="2"/>
        <v>-25000</v>
      </c>
      <c r="K19" s="152">
        <f t="shared" si="2"/>
        <v>-262300</v>
      </c>
    </row>
    <row r="20" spans="1:11" ht="15.75" x14ac:dyDescent="0.25">
      <c r="A20" s="45" t="s">
        <v>19</v>
      </c>
      <c r="B20" s="154">
        <f t="shared" ref="B20:B30" si="3">SUM(C20:G20)</f>
        <v>60000</v>
      </c>
      <c r="C20" s="165">
        <f>(60000*80%)/4</f>
        <v>12000</v>
      </c>
      <c r="D20" s="165">
        <f>(60000*80%)/4</f>
        <v>12000</v>
      </c>
      <c r="E20" s="165">
        <f>(60000*80%)/4</f>
        <v>12000</v>
      </c>
      <c r="F20" s="165">
        <f>(60000*80%)/4</f>
        <v>12000</v>
      </c>
      <c r="G20" s="165">
        <f>(60000*20%)</f>
        <v>12000</v>
      </c>
      <c r="H20" s="162"/>
      <c r="I20" s="164"/>
      <c r="J20" s="164"/>
      <c r="K20" s="155">
        <f t="shared" ref="K20:K26" si="4">-(C20+E20+D20+F20+G20)</f>
        <v>-60000</v>
      </c>
    </row>
    <row r="21" spans="1:11" ht="15.75" x14ac:dyDescent="0.25">
      <c r="A21" s="45" t="s">
        <v>20</v>
      </c>
      <c r="B21" s="154">
        <f t="shared" si="3"/>
        <v>15000</v>
      </c>
      <c r="C21" s="165">
        <f>(15000*80%)/4</f>
        <v>3000</v>
      </c>
      <c r="D21" s="165">
        <f>(15000*80%)/4</f>
        <v>3000</v>
      </c>
      <c r="E21" s="165">
        <f>(15000*80%)/4</f>
        <v>3000</v>
      </c>
      <c r="F21" s="165">
        <f>(15000*80%)/4</f>
        <v>3000</v>
      </c>
      <c r="G21" s="165">
        <f>(15000*20%)</f>
        <v>3000</v>
      </c>
      <c r="H21" s="162"/>
      <c r="I21" s="164"/>
      <c r="J21" s="164"/>
      <c r="K21" s="155">
        <f t="shared" si="4"/>
        <v>-15000</v>
      </c>
    </row>
    <row r="22" spans="1:11" ht="15.75" x14ac:dyDescent="0.25">
      <c r="A22" s="45" t="s">
        <v>21</v>
      </c>
      <c r="B22" s="154">
        <f t="shared" si="3"/>
        <v>18000</v>
      </c>
      <c r="C22" s="166">
        <f>C20*30%</f>
        <v>3600</v>
      </c>
      <c r="D22" s="166">
        <f>D20*30%</f>
        <v>3600</v>
      </c>
      <c r="E22" s="166">
        <f>E20*30%</f>
        <v>3600</v>
      </c>
      <c r="F22" s="166">
        <f>F20*30%</f>
        <v>3600</v>
      </c>
      <c r="G22" s="166">
        <f>G20*30%</f>
        <v>3600</v>
      </c>
      <c r="H22" s="165"/>
      <c r="I22" s="163"/>
      <c r="J22" s="163"/>
      <c r="K22" s="155">
        <f t="shared" si="4"/>
        <v>-18000</v>
      </c>
    </row>
    <row r="23" spans="1:11" ht="15.75" x14ac:dyDescent="0.25">
      <c r="A23" s="45" t="s">
        <v>22</v>
      </c>
      <c r="B23" s="154">
        <f t="shared" si="3"/>
        <v>6000</v>
      </c>
      <c r="C23" s="166">
        <f>C20*10%</f>
        <v>1200</v>
      </c>
      <c r="D23" s="166">
        <f>D20*10%</f>
        <v>1200</v>
      </c>
      <c r="E23" s="166">
        <f>E20*10%</f>
        <v>1200</v>
      </c>
      <c r="F23" s="166">
        <f>F20*10%</f>
        <v>1200</v>
      </c>
      <c r="G23" s="166">
        <f>G20*10%</f>
        <v>1200</v>
      </c>
      <c r="H23" s="165"/>
      <c r="I23" s="163"/>
      <c r="J23" s="163"/>
      <c r="K23" s="155">
        <f t="shared" si="4"/>
        <v>-6000</v>
      </c>
    </row>
    <row r="24" spans="1:11" ht="15.75" x14ac:dyDescent="0.25">
      <c r="A24" s="46" t="s">
        <v>25</v>
      </c>
      <c r="B24" s="154">
        <f t="shared" si="3"/>
        <v>60000</v>
      </c>
      <c r="C24" s="167">
        <f>60000*0.25</f>
        <v>15000</v>
      </c>
      <c r="D24" s="167">
        <f t="shared" ref="D24:F24" si="5">60000*0.25</f>
        <v>15000</v>
      </c>
      <c r="E24" s="167">
        <f t="shared" si="5"/>
        <v>15000</v>
      </c>
      <c r="F24" s="167">
        <f t="shared" si="5"/>
        <v>15000</v>
      </c>
      <c r="G24" s="155"/>
      <c r="H24" s="163"/>
      <c r="I24" s="163"/>
      <c r="J24" s="163"/>
      <c r="K24" s="155">
        <f t="shared" si="4"/>
        <v>-60000</v>
      </c>
    </row>
    <row r="25" spans="1:11" ht="15.75" x14ac:dyDescent="0.25">
      <c r="A25" s="46" t="s">
        <v>26</v>
      </c>
      <c r="B25" s="154">
        <f t="shared" si="3"/>
        <v>12000</v>
      </c>
      <c r="C25" s="167"/>
      <c r="D25" s="168">
        <f>12000*0.7</f>
        <v>8400</v>
      </c>
      <c r="E25" s="167"/>
      <c r="F25" s="168">
        <f>12000*0.3</f>
        <v>3600</v>
      </c>
      <c r="G25" s="155"/>
      <c r="H25" s="163"/>
      <c r="I25" s="163"/>
      <c r="J25" s="163"/>
      <c r="K25" s="155">
        <f t="shared" si="4"/>
        <v>-12000</v>
      </c>
    </row>
    <row r="26" spans="1:11" ht="15.75" x14ac:dyDescent="0.25">
      <c r="A26" s="46" t="s">
        <v>27</v>
      </c>
      <c r="B26" s="154">
        <f t="shared" si="3"/>
        <v>10300</v>
      </c>
      <c r="C26" s="167">
        <f>'Anexos 1er. Sem'!E17</f>
        <v>2700</v>
      </c>
      <c r="D26" s="167">
        <f>'Anexos 1er. Sem'!G17</f>
        <v>2700</v>
      </c>
      <c r="E26" s="167">
        <f>'Anexos 1er. Sem'!F17</f>
        <v>1700</v>
      </c>
      <c r="F26" s="167">
        <f>'Anexos 1er. Sem'!H17</f>
        <v>1700</v>
      </c>
      <c r="G26" s="155">
        <f>'Anexos 1er. Sem'!I17</f>
        <v>1500</v>
      </c>
      <c r="H26" s="163"/>
      <c r="I26" s="163"/>
      <c r="J26" s="163"/>
      <c r="K26" s="155">
        <f t="shared" si="4"/>
        <v>-10300</v>
      </c>
    </row>
    <row r="27" spans="1:11" ht="15.75" x14ac:dyDescent="0.25">
      <c r="A27" s="46" t="s">
        <v>28</v>
      </c>
      <c r="B27" s="154">
        <f t="shared" si="3"/>
        <v>25000</v>
      </c>
      <c r="C27" s="167">
        <v>6250</v>
      </c>
      <c r="D27" s="167">
        <v>6250</v>
      </c>
      <c r="E27" s="167">
        <v>6250</v>
      </c>
      <c r="F27" s="167">
        <v>6250</v>
      </c>
      <c r="G27" s="155"/>
      <c r="H27" s="163"/>
      <c r="I27" s="155"/>
      <c r="J27" s="155">
        <f>-SUM(C27:F27)</f>
        <v>-25000</v>
      </c>
      <c r="K27" s="155"/>
    </row>
    <row r="28" spans="1:11" ht="15.75" x14ac:dyDescent="0.25">
      <c r="A28" s="46" t="s">
        <v>29</v>
      </c>
      <c r="B28" s="154">
        <f t="shared" si="3"/>
        <v>16875</v>
      </c>
      <c r="C28" s="167">
        <f>'Anexos 1er. Sem'!E12</f>
        <v>4300</v>
      </c>
      <c r="D28" s="167">
        <f>'Anexos 1er. Sem'!G12</f>
        <v>4300</v>
      </c>
      <c r="E28" s="167">
        <f>'Anexos 1er. Sem'!F12</f>
        <v>2300</v>
      </c>
      <c r="F28" s="167">
        <f>'Anexos 1er. Sem'!H12</f>
        <v>2300</v>
      </c>
      <c r="G28" s="155">
        <f>'Anexos 1er. Sem'!I12</f>
        <v>3675</v>
      </c>
      <c r="H28" s="163"/>
      <c r="I28" s="155">
        <f>SUM(C28:H28)</f>
        <v>16875</v>
      </c>
      <c r="J28" s="155"/>
      <c r="K28" s="163"/>
    </row>
    <row r="29" spans="1:11" s="114" customFormat="1" ht="15.75" x14ac:dyDescent="0.25">
      <c r="A29" s="46" t="s">
        <v>64</v>
      </c>
      <c r="B29" s="169">
        <f t="shared" si="3"/>
        <v>1000</v>
      </c>
      <c r="C29" s="170">
        <f>1000/4</f>
        <v>250</v>
      </c>
      <c r="D29" s="170">
        <f>1000/4</f>
        <v>250</v>
      </c>
      <c r="E29" s="170">
        <f>1000/4</f>
        <v>250</v>
      </c>
      <c r="F29" s="170">
        <f>1000/4</f>
        <v>250</v>
      </c>
      <c r="G29" s="171"/>
      <c r="H29" s="172"/>
      <c r="I29" s="171"/>
      <c r="J29" s="171"/>
      <c r="K29" s="173">
        <f>-(C29+E29+D29+F29+G29)</f>
        <v>-1000</v>
      </c>
    </row>
    <row r="30" spans="1:11" s="114" customFormat="1" ht="16.5" thickBot="1" x14ac:dyDescent="0.3">
      <c r="A30" s="174" t="s">
        <v>65</v>
      </c>
      <c r="B30" s="177">
        <f t="shared" si="3"/>
        <v>80000</v>
      </c>
      <c r="C30" s="175"/>
      <c r="D30" s="175"/>
      <c r="E30" s="175"/>
      <c r="F30" s="175"/>
      <c r="G30" s="176">
        <v>80000</v>
      </c>
      <c r="H30" s="176"/>
      <c r="I30" s="176"/>
      <c r="J30" s="176"/>
      <c r="K30" s="176">
        <f>-(C30+E30+D30+F30+G30)</f>
        <v>-80000</v>
      </c>
    </row>
    <row r="31" spans="1:11" ht="15.75" thickBot="1" x14ac:dyDescent="0.3">
      <c r="A31" s="47"/>
      <c r="B31" s="4"/>
      <c r="C31" s="5"/>
      <c r="D31" s="5"/>
      <c r="E31" s="5"/>
      <c r="F31" s="5"/>
      <c r="G31" s="5"/>
      <c r="H31" s="5"/>
      <c r="I31" s="4"/>
      <c r="J31" s="4"/>
      <c r="K31" s="179"/>
    </row>
    <row r="32" spans="1:11" ht="24" customHeight="1" thickBot="1" x14ac:dyDescent="0.45">
      <c r="A32" s="208" t="s">
        <v>54</v>
      </c>
      <c r="B32" s="209"/>
      <c r="C32" s="210">
        <f>C8+C14+C19</f>
        <v>118928.10020486594</v>
      </c>
      <c r="D32" s="210">
        <f>D8+D14+D19</f>
        <v>133286.08806521638</v>
      </c>
      <c r="E32" s="210">
        <f>E8+E14+E19</f>
        <v>112641.67802828079</v>
      </c>
      <c r="F32" s="210">
        <f>F8+F14+F19</f>
        <v>118344.13370163688</v>
      </c>
      <c r="G32" s="211">
        <f>+G19+G8</f>
        <v>104975</v>
      </c>
      <c r="H32" s="99"/>
      <c r="I32" s="4"/>
      <c r="J32" s="4"/>
      <c r="K32" s="186">
        <f>+K8+K14+K19</f>
        <v>-470300</v>
      </c>
    </row>
    <row r="33" spans="1:11" ht="24.75" customHeight="1" thickBot="1" x14ac:dyDescent="0.45">
      <c r="A33" s="94" t="s">
        <v>62</v>
      </c>
      <c r="B33" s="153"/>
      <c r="C33" s="95">
        <f>C7+C32</f>
        <v>302037.8218400011</v>
      </c>
      <c r="D33" s="95">
        <f>D7+D32</f>
        <v>299526.97871927044</v>
      </c>
      <c r="E33" s="95">
        <f>E7+E32</f>
        <v>226251.88373098348</v>
      </c>
      <c r="F33" s="95">
        <f>F7+F32</f>
        <v>233058.99047190713</v>
      </c>
      <c r="G33" s="96">
        <f>G7+G32</f>
        <v>129950</v>
      </c>
      <c r="H33" s="99"/>
      <c r="I33" s="4"/>
      <c r="J33" s="4"/>
      <c r="K33" s="180"/>
    </row>
    <row r="34" spans="1:11" ht="15.75" thickBot="1" x14ac:dyDescent="0.3">
      <c r="A34" s="47"/>
      <c r="B34" s="4"/>
      <c r="C34" s="5"/>
      <c r="D34" s="5"/>
      <c r="E34" s="5"/>
      <c r="F34" s="5"/>
      <c r="G34" s="5"/>
      <c r="H34" s="5"/>
      <c r="I34" s="4"/>
      <c r="J34" s="4"/>
      <c r="K34" s="180"/>
    </row>
    <row r="35" spans="1:11" ht="21.75" customHeight="1" thickBot="1" x14ac:dyDescent="0.45">
      <c r="A35" s="97" t="s">
        <v>55</v>
      </c>
      <c r="B35" s="97"/>
      <c r="C35" s="98">
        <f>C6</f>
        <v>19</v>
      </c>
      <c r="D35" s="98">
        <f>D6</f>
        <v>49</v>
      </c>
      <c r="E35" s="98">
        <f>E6</f>
        <v>9</v>
      </c>
      <c r="F35" s="98">
        <f>F6</f>
        <v>19</v>
      </c>
      <c r="G35" s="10"/>
      <c r="H35" s="5"/>
      <c r="I35" s="4"/>
      <c r="J35" s="4"/>
      <c r="K35" s="180"/>
    </row>
    <row r="36" spans="1:11" ht="25.5" customHeight="1" thickBot="1" x14ac:dyDescent="0.45">
      <c r="A36" s="91" t="s">
        <v>56</v>
      </c>
      <c r="B36" s="91"/>
      <c r="C36" s="92">
        <f>C33/C35</f>
        <v>15896.727465263215</v>
      </c>
      <c r="D36" s="92">
        <f>D33/D35</f>
        <v>6112.7954840667435</v>
      </c>
      <c r="E36" s="92">
        <f>E33/E35</f>
        <v>25139.098192331498</v>
      </c>
      <c r="F36" s="92">
        <f>F33/F35</f>
        <v>12266.262656416166</v>
      </c>
      <c r="G36" s="93"/>
      <c r="H36" s="5"/>
      <c r="I36" s="4"/>
      <c r="J36" s="4"/>
      <c r="K36" s="48"/>
    </row>
    <row r="37" spans="1:11" ht="16.5" thickBot="1" x14ac:dyDescent="0.3">
      <c r="A37" s="47"/>
      <c r="B37" s="4"/>
      <c r="C37" s="7"/>
      <c r="D37" s="7"/>
      <c r="E37" s="7"/>
      <c r="F37" s="7"/>
      <c r="G37" s="5"/>
      <c r="H37" s="5"/>
      <c r="I37" s="4"/>
      <c r="J37" s="4"/>
      <c r="K37" s="48"/>
    </row>
    <row r="38" spans="1:11" ht="15.75" x14ac:dyDescent="0.25">
      <c r="A38" s="15" t="s">
        <v>66</v>
      </c>
      <c r="B38" s="8"/>
      <c r="C38" s="11">
        <f>C35-2</f>
        <v>17</v>
      </c>
      <c r="D38" s="11">
        <f>D35-2</f>
        <v>47</v>
      </c>
      <c r="E38" s="11">
        <f>E35-2</f>
        <v>7</v>
      </c>
      <c r="F38" s="11">
        <f>F35-2</f>
        <v>17</v>
      </c>
      <c r="G38" s="70" t="s">
        <v>122</v>
      </c>
      <c r="H38" s="71" t="s">
        <v>124</v>
      </c>
      <c r="I38" s="71" t="s">
        <v>123</v>
      </c>
      <c r="J38" s="4"/>
      <c r="K38" s="48"/>
    </row>
    <row r="39" spans="1:11" ht="16.5" thickBot="1" x14ac:dyDescent="0.3">
      <c r="A39" s="15" t="s">
        <v>57</v>
      </c>
      <c r="B39" s="8"/>
      <c r="C39" s="12">
        <f>C36*2</f>
        <v>31793.45493052643</v>
      </c>
      <c r="D39" s="12">
        <f>D36*2</f>
        <v>12225.590968133487</v>
      </c>
      <c r="E39" s="12">
        <f>E36*2</f>
        <v>50278.196384662995</v>
      </c>
      <c r="F39" s="12">
        <f>F36*2</f>
        <v>24532.525312832331</v>
      </c>
      <c r="G39" s="72">
        <f>SUM(C39:F39)</f>
        <v>118829.76759615523</v>
      </c>
      <c r="H39" s="197">
        <f>+I39-G39</f>
        <v>14259.57211153864</v>
      </c>
      <c r="I39" s="73">
        <f>+G39*1.12</f>
        <v>133089.33970769387</v>
      </c>
      <c r="J39" s="4"/>
      <c r="K39" s="48"/>
    </row>
    <row r="40" spans="1:11" ht="15.75" x14ac:dyDescent="0.25">
      <c r="A40" s="219" t="s">
        <v>124</v>
      </c>
      <c r="B40" s="223"/>
      <c r="C40" s="196">
        <f>+C39*0.12</f>
        <v>3815.2145916631716</v>
      </c>
      <c r="D40" s="196">
        <f t="shared" ref="D40:F40" si="6">+D39*0.12</f>
        <v>1467.0709161760183</v>
      </c>
      <c r="E40" s="196">
        <f t="shared" si="6"/>
        <v>6033.3835661595595</v>
      </c>
      <c r="F40" s="196">
        <f t="shared" si="6"/>
        <v>2943.9030375398797</v>
      </c>
      <c r="G40" s="4"/>
      <c r="H40" s="198">
        <f>+C40+D40+E40+F40</f>
        <v>14259.57211153863</v>
      </c>
      <c r="I40" s="4"/>
      <c r="J40" s="4"/>
      <c r="K40" s="6"/>
    </row>
    <row r="41" spans="1:11" ht="15.75" x14ac:dyDescent="0.25">
      <c r="A41" s="15" t="s">
        <v>127</v>
      </c>
      <c r="B41" s="8"/>
      <c r="C41" s="14">
        <f>C38</f>
        <v>17</v>
      </c>
      <c r="D41" s="14">
        <f>D38</f>
        <v>47</v>
      </c>
      <c r="E41" s="14">
        <f>E38</f>
        <v>7</v>
      </c>
      <c r="F41" s="14">
        <f>F38</f>
        <v>17</v>
      </c>
      <c r="G41" s="3"/>
      <c r="H41" s="3"/>
      <c r="I41" s="4"/>
      <c r="J41" s="4"/>
      <c r="K41" s="13"/>
    </row>
    <row r="42" spans="1:11" ht="15.75" x14ac:dyDescent="0.25">
      <c r="A42" s="15" t="s">
        <v>128</v>
      </c>
      <c r="B42" s="8"/>
      <c r="C42" s="7">
        <f>C33-C39</f>
        <v>270244.36690947466</v>
      </c>
      <c r="D42" s="7">
        <f>D33-D39</f>
        <v>287301.38775113696</v>
      </c>
      <c r="E42" s="7">
        <f>E33-E39</f>
        <v>175973.68734632048</v>
      </c>
      <c r="F42" s="7">
        <f>F33-F39</f>
        <v>208526.46515907481</v>
      </c>
      <c r="G42" s="212">
        <f>+C42+D42+E42+F42</f>
        <v>942045.90716600697</v>
      </c>
      <c r="H42" s="3"/>
      <c r="I42" s="4"/>
      <c r="J42" s="4"/>
      <c r="K42" s="13"/>
    </row>
    <row r="43" spans="1:11" ht="15.75" x14ac:dyDescent="0.25">
      <c r="A43" s="15" t="s">
        <v>67</v>
      </c>
      <c r="B43" s="8"/>
      <c r="C43" s="7">
        <f>C42*2</f>
        <v>540488.73381894932</v>
      </c>
      <c r="D43" s="7">
        <f>D42*2</f>
        <v>574602.77550227393</v>
      </c>
      <c r="E43" s="7">
        <f>E42*2</f>
        <v>351947.37469264097</v>
      </c>
      <c r="F43" s="7">
        <f>F42*2</f>
        <v>417052.93031814962</v>
      </c>
      <c r="G43" s="212">
        <f>+C43+D43+E43+F43</f>
        <v>1884091.8143320139</v>
      </c>
      <c r="H43" s="3"/>
      <c r="I43" s="4"/>
      <c r="J43" s="4"/>
      <c r="K43" s="13"/>
    </row>
    <row r="44" spans="1:11" ht="15.75" x14ac:dyDescent="0.25">
      <c r="A44" s="15"/>
      <c r="B44" s="8"/>
      <c r="C44" s="7">
        <f>+C40+'HojaTecnica1er Sem'!C36+'HojaTecnica2o Sem'!C43</f>
        <v>545460.43086304492</v>
      </c>
      <c r="D44" s="7">
        <f>+D40+'HojaTecnica1er Sem'!D36+'HojaTecnica2o Sem'!D43</f>
        <v>576476.9669669905</v>
      </c>
      <c r="E44" s="7">
        <f>+E40+'HojaTecnica1er Sem'!E36+'HojaTecnica2o Sem'!E43</f>
        <v>359495.5610015032</v>
      </c>
      <c r="F44" s="7">
        <f>+F40+'HojaTecnica1er Sem'!F36+'HojaTecnica2o Sem'!F43</f>
        <v>420721.34824055439</v>
      </c>
      <c r="G44" s="212">
        <f>+C44+D44+E44+F44</f>
        <v>1902154.307072093</v>
      </c>
      <c r="H44" s="3"/>
      <c r="I44" s="4"/>
      <c r="J44" s="4"/>
      <c r="K44" s="13"/>
    </row>
    <row r="45" spans="1:11" ht="15.75" x14ac:dyDescent="0.25">
      <c r="A45" s="15"/>
      <c r="B45" s="8"/>
      <c r="C45" s="7"/>
      <c r="D45" s="7"/>
      <c r="E45" s="7"/>
      <c r="F45" s="7"/>
      <c r="G45" s="4"/>
      <c r="H45" s="3"/>
      <c r="I45" s="4"/>
      <c r="J45" s="4"/>
      <c r="K45" s="13"/>
    </row>
    <row r="46" spans="1:11" ht="15.75" thickBot="1" x14ac:dyDescent="0.3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8"/>
    </row>
    <row r="48" spans="1:11" hidden="1" x14ac:dyDescent="0.25"/>
    <row r="49" spans="3:5" hidden="1" x14ac:dyDescent="0.25">
      <c r="C49" s="178">
        <f>+C8+C14+C19</f>
        <v>118928.10020486594</v>
      </c>
    </row>
    <row r="50" spans="3:5" hidden="1" x14ac:dyDescent="0.25">
      <c r="C50" s="178">
        <f>-C39</f>
        <v>-31793.45493052643</v>
      </c>
      <c r="E50" s="178">
        <f>+C42+D42+E42+F42</f>
        <v>942045.90716600697</v>
      </c>
    </row>
    <row r="51" spans="3:5" hidden="1" x14ac:dyDescent="0.25">
      <c r="C51" s="178">
        <f>+C49+C50</f>
        <v>87134.645274339506</v>
      </c>
    </row>
    <row r="52" spans="3:5" hidden="1" x14ac:dyDescent="0.25"/>
    <row r="53" spans="3:5" hidden="1" x14ac:dyDescent="0.25"/>
    <row r="54" spans="3:5" hidden="1" x14ac:dyDescent="0.25"/>
    <row r="55" spans="3:5" x14ac:dyDescent="0.25">
      <c r="D55" s="178"/>
    </row>
  </sheetData>
  <mergeCells count="5">
    <mergeCell ref="A40:B40"/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50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J19"/>
  <sheetViews>
    <sheetView workbookViewId="0">
      <selection activeCell="F25" sqref="F25"/>
    </sheetView>
  </sheetViews>
  <sheetFormatPr baseColWidth="10" defaultRowHeight="15" x14ac:dyDescent="0.25"/>
  <cols>
    <col min="1" max="1" width="4.140625" customWidth="1"/>
    <col min="2" max="2" width="34.140625" customWidth="1"/>
    <col min="5" max="5" width="16.42578125" customWidth="1"/>
    <col min="6" max="6" width="15.7109375" customWidth="1"/>
    <col min="7" max="8" width="15" customWidth="1"/>
    <col min="9" max="9" width="14.7109375" customWidth="1"/>
    <col min="10" max="10" width="15.28515625" customWidth="1"/>
  </cols>
  <sheetData>
    <row r="2" spans="2:10" ht="15.75" x14ac:dyDescent="0.25">
      <c r="B2" s="40" t="s">
        <v>60</v>
      </c>
    </row>
    <row r="3" spans="2:10" ht="15.75" x14ac:dyDescent="0.25">
      <c r="B3" s="41" t="s">
        <v>126</v>
      </c>
    </row>
    <row r="5" spans="2:10" ht="30.75" x14ac:dyDescent="0.25">
      <c r="B5" s="19"/>
      <c r="C5" s="20"/>
      <c r="D5" s="20"/>
      <c r="E5" s="21" t="s">
        <v>31</v>
      </c>
      <c r="F5" s="39" t="s">
        <v>1</v>
      </c>
      <c r="G5" s="39" t="s">
        <v>2</v>
      </c>
      <c r="H5" s="39" t="s">
        <v>1</v>
      </c>
      <c r="I5" s="39" t="s">
        <v>2</v>
      </c>
      <c r="J5" s="39" t="s">
        <v>3</v>
      </c>
    </row>
    <row r="6" spans="2:10" ht="15.75" x14ac:dyDescent="0.25">
      <c r="B6" s="22" t="s">
        <v>4</v>
      </c>
      <c r="C6" s="23" t="s">
        <v>32</v>
      </c>
      <c r="D6" s="23" t="s">
        <v>33</v>
      </c>
      <c r="E6" s="24" t="s">
        <v>68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</row>
    <row r="7" spans="2:10" ht="15.75" x14ac:dyDescent="0.25">
      <c r="B7" s="26" t="s">
        <v>35</v>
      </c>
      <c r="C7" s="27"/>
      <c r="D7" s="27"/>
      <c r="E7" s="28"/>
      <c r="F7" s="29"/>
      <c r="G7" s="29"/>
      <c r="H7" s="29"/>
      <c r="I7" s="29"/>
      <c r="J7" s="29"/>
    </row>
    <row r="8" spans="2:10" ht="15.75" x14ac:dyDescent="0.25">
      <c r="B8" s="30" t="s">
        <v>36</v>
      </c>
      <c r="C8" s="31">
        <v>40000</v>
      </c>
      <c r="D8" s="32">
        <v>0.2</v>
      </c>
      <c r="E8" s="33">
        <f>(C8*D8)/2</f>
        <v>4000</v>
      </c>
      <c r="F8" s="29">
        <f>(E8*80%)/4</f>
        <v>800</v>
      </c>
      <c r="G8" s="29">
        <f>(E8*80%)/4</f>
        <v>800</v>
      </c>
      <c r="H8" s="29">
        <f>(E8*80%)/4</f>
        <v>800</v>
      </c>
      <c r="I8" s="29">
        <f>(E8*80%)/4</f>
        <v>800</v>
      </c>
      <c r="J8" s="29">
        <f>E8*20%</f>
        <v>800</v>
      </c>
    </row>
    <row r="9" spans="2:10" ht="15.75" x14ac:dyDescent="0.25">
      <c r="B9" s="30" t="s">
        <v>37</v>
      </c>
      <c r="C9" s="31">
        <v>80000</v>
      </c>
      <c r="D9" s="32">
        <v>0.05</v>
      </c>
      <c r="E9" s="33">
        <f>(C9*D9)/2</f>
        <v>2000</v>
      </c>
      <c r="F9" s="29">
        <f>E9/4</f>
        <v>500</v>
      </c>
      <c r="G9" s="29">
        <f>E9/4</f>
        <v>500</v>
      </c>
      <c r="H9" s="29">
        <f>E9/4</f>
        <v>500</v>
      </c>
      <c r="I9" s="29">
        <f>E9/4</f>
        <v>500</v>
      </c>
      <c r="J9" s="29"/>
    </row>
    <row r="10" spans="2:10" ht="15.75" x14ac:dyDescent="0.25">
      <c r="B10" s="30" t="s">
        <v>38</v>
      </c>
      <c r="C10" s="31">
        <v>10000</v>
      </c>
      <c r="D10" s="32">
        <v>0.2</v>
      </c>
      <c r="E10" s="33">
        <f>(C10*D10)/2</f>
        <v>1000</v>
      </c>
      <c r="F10" s="29"/>
      <c r="G10" s="29"/>
      <c r="H10" s="29"/>
      <c r="I10" s="29"/>
      <c r="J10" s="29">
        <f>E10</f>
        <v>1000</v>
      </c>
    </row>
    <row r="11" spans="2:10" ht="15.75" x14ac:dyDescent="0.25">
      <c r="B11" s="30" t="s">
        <v>39</v>
      </c>
      <c r="C11" s="31">
        <v>80000</v>
      </c>
      <c r="D11" s="32">
        <v>0.2</v>
      </c>
      <c r="E11" s="33">
        <f>(C11*D11)/2</f>
        <v>8000</v>
      </c>
      <c r="F11" s="29">
        <f>(E11*75%)/2</f>
        <v>3000</v>
      </c>
      <c r="G11" s="29">
        <f>(E11*25%)/2</f>
        <v>1000</v>
      </c>
      <c r="H11" s="29">
        <f>(E11*75%)/2</f>
        <v>3000</v>
      </c>
      <c r="I11" s="29">
        <f>(E11*25%)/2</f>
        <v>1000</v>
      </c>
      <c r="J11" s="29"/>
    </row>
    <row r="12" spans="2:10" ht="15.75" x14ac:dyDescent="0.25">
      <c r="B12" s="30" t="s">
        <v>40</v>
      </c>
      <c r="C12" s="31">
        <v>75000</v>
      </c>
      <c r="D12" s="32">
        <v>0.05</v>
      </c>
      <c r="E12" s="34">
        <f>(C12*D12)/2</f>
        <v>1875</v>
      </c>
      <c r="F12" s="35"/>
      <c r="G12" s="35"/>
      <c r="H12" s="35"/>
      <c r="I12" s="35"/>
      <c r="J12" s="35">
        <f>E12</f>
        <v>1875</v>
      </c>
    </row>
    <row r="13" spans="2:10" ht="15.75" x14ac:dyDescent="0.25">
      <c r="B13" s="26"/>
      <c r="C13" s="36"/>
      <c r="D13" s="36"/>
      <c r="E13" s="37">
        <f t="shared" ref="E13:J13" si="0">SUM(E8:E12)</f>
        <v>16875</v>
      </c>
      <c r="F13" s="37">
        <f t="shared" si="0"/>
        <v>4300</v>
      </c>
      <c r="G13" s="37">
        <f t="shared" si="0"/>
        <v>2300</v>
      </c>
      <c r="H13" s="37">
        <f t="shared" si="0"/>
        <v>4300</v>
      </c>
      <c r="I13" s="37">
        <f t="shared" si="0"/>
        <v>2300</v>
      </c>
      <c r="J13" s="37">
        <f t="shared" si="0"/>
        <v>3675</v>
      </c>
    </row>
    <row r="14" spans="2:10" ht="15.75" x14ac:dyDescent="0.25">
      <c r="B14" s="26" t="s">
        <v>41</v>
      </c>
      <c r="C14" s="31"/>
      <c r="D14" s="32"/>
      <c r="E14" s="33"/>
      <c r="F14" s="29"/>
      <c r="G14" s="29"/>
      <c r="H14" s="29"/>
      <c r="I14" s="29"/>
      <c r="J14" s="29"/>
    </row>
    <row r="15" spans="2:10" ht="15.75" x14ac:dyDescent="0.25">
      <c r="B15" s="30" t="s">
        <v>37</v>
      </c>
      <c r="C15" s="31"/>
      <c r="D15" s="32"/>
      <c r="E15" s="33">
        <v>4800</v>
      </c>
      <c r="F15" s="29">
        <f>E15/4</f>
        <v>1200</v>
      </c>
      <c r="G15" s="29">
        <f>E15/4</f>
        <v>1200</v>
      </c>
      <c r="H15" s="29">
        <f>E15/4</f>
        <v>1200</v>
      </c>
      <c r="I15" s="29">
        <f>E15/4</f>
        <v>1200</v>
      </c>
      <c r="J15" s="29"/>
    </row>
    <row r="16" spans="2:10" ht="15.75" x14ac:dyDescent="0.25">
      <c r="B16" s="30" t="s">
        <v>42</v>
      </c>
      <c r="C16" s="31"/>
      <c r="D16" s="32"/>
      <c r="E16" s="33">
        <v>4000</v>
      </c>
      <c r="F16" s="29">
        <f>(E16*75%)/2</f>
        <v>1500</v>
      </c>
      <c r="G16" s="29">
        <f>(E16*25%)/2</f>
        <v>500</v>
      </c>
      <c r="H16" s="29">
        <f>(E16*75%)/2</f>
        <v>1500</v>
      </c>
      <c r="I16" s="29">
        <f>(E16*25%)/2</f>
        <v>500</v>
      </c>
      <c r="J16" s="29"/>
    </row>
    <row r="17" spans="2:10" ht="15.75" x14ac:dyDescent="0.25">
      <c r="B17" s="30" t="s">
        <v>9</v>
      </c>
      <c r="C17" s="31"/>
      <c r="D17" s="32"/>
      <c r="E17" s="34">
        <v>1500</v>
      </c>
      <c r="F17" s="35"/>
      <c r="G17" s="35"/>
      <c r="H17" s="35"/>
      <c r="I17" s="35"/>
      <c r="J17" s="35">
        <v>1500</v>
      </c>
    </row>
    <row r="18" spans="2:10" ht="15.75" x14ac:dyDescent="0.25">
      <c r="B18" s="26"/>
      <c r="C18" s="36"/>
      <c r="D18" s="38"/>
      <c r="E18" s="37">
        <f t="shared" ref="E18:J18" si="1">SUM(E15:E17)</f>
        <v>10300</v>
      </c>
      <c r="F18" s="37">
        <f t="shared" si="1"/>
        <v>2700</v>
      </c>
      <c r="G18" s="37">
        <f t="shared" si="1"/>
        <v>1700</v>
      </c>
      <c r="H18" s="37">
        <f t="shared" si="1"/>
        <v>2700</v>
      </c>
      <c r="I18" s="37">
        <f t="shared" si="1"/>
        <v>1700</v>
      </c>
      <c r="J18" s="37">
        <f t="shared" si="1"/>
        <v>1500</v>
      </c>
    </row>
    <row r="19" spans="2:10" ht="15.75" x14ac:dyDescent="0.25">
      <c r="B19" s="22"/>
      <c r="C19" s="23"/>
      <c r="D19" s="23"/>
      <c r="E19" s="24"/>
      <c r="F19" s="35"/>
      <c r="G19" s="35"/>
      <c r="H19" s="35"/>
      <c r="I19" s="35"/>
      <c r="J19" s="35"/>
    </row>
  </sheetData>
  <pageMargins left="0.70866141732283472" right="0.70866141732283472" top="0.74803149606299213" bottom="0.74803149606299213" header="0.31496062992125984" footer="0.31496062992125984"/>
  <pageSetup scale="7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H72"/>
  <sheetViews>
    <sheetView tabSelected="1" topLeftCell="B1" workbookViewId="0">
      <selection activeCell="L29" sqref="L29"/>
    </sheetView>
  </sheetViews>
  <sheetFormatPr baseColWidth="10" defaultRowHeight="15" x14ac:dyDescent="0.25"/>
  <cols>
    <col min="1" max="1" width="0" hidden="1" customWidth="1"/>
    <col min="2" max="2" width="62.5703125" customWidth="1"/>
    <col min="3" max="4" width="19.140625" customWidth="1"/>
    <col min="5" max="5" width="14.5703125" hidden="1" customWidth="1"/>
    <col min="6" max="7" width="13" hidden="1" customWidth="1"/>
    <col min="8" max="8" width="11.42578125" hidden="1" customWidth="1"/>
    <col min="9" max="10" width="0" hidden="1" customWidth="1"/>
  </cols>
  <sheetData>
    <row r="1" spans="2:5" ht="15.75" x14ac:dyDescent="0.25">
      <c r="B1" s="224" t="s">
        <v>60</v>
      </c>
      <c r="C1" s="224"/>
      <c r="D1" s="224"/>
    </row>
    <row r="2" spans="2:5" ht="15.75" x14ac:dyDescent="0.25">
      <c r="B2" s="225" t="s">
        <v>129</v>
      </c>
      <c r="C2" s="225"/>
      <c r="D2" s="225"/>
    </row>
    <row r="3" spans="2:5" ht="15.75" x14ac:dyDescent="0.25">
      <c r="B3" s="226" t="s">
        <v>110</v>
      </c>
      <c r="C3" s="226"/>
      <c r="D3" s="226"/>
    </row>
    <row r="4" spans="2:5" ht="15.75" x14ac:dyDescent="0.25">
      <c r="B4" s="51"/>
      <c r="C4" s="52"/>
      <c r="D4" s="52"/>
    </row>
    <row r="5" spans="2:5" ht="15.75" x14ac:dyDescent="0.25">
      <c r="B5" s="53" t="s">
        <v>111</v>
      </c>
      <c r="C5" s="52"/>
      <c r="D5" s="52"/>
    </row>
    <row r="6" spans="2:5" ht="15.75" x14ac:dyDescent="0.25">
      <c r="B6" s="54" t="s">
        <v>87</v>
      </c>
      <c r="C6" s="52">
        <f>+'HojaTecnica2o Sem'!C32</f>
        <v>118928.10020486594</v>
      </c>
      <c r="D6" s="52"/>
    </row>
    <row r="7" spans="2:5" ht="15.75" x14ac:dyDescent="0.25">
      <c r="B7" s="54" t="s">
        <v>89</v>
      </c>
      <c r="C7" s="52">
        <f>+'HojaTecnica2o Sem'!D32</f>
        <v>133286.08806521638</v>
      </c>
      <c r="D7" s="52"/>
    </row>
    <row r="8" spans="2:5" ht="15.75" x14ac:dyDescent="0.25">
      <c r="B8" s="54" t="s">
        <v>88</v>
      </c>
      <c r="C8" s="52">
        <f>+'HojaTecnica2o Sem'!E32</f>
        <v>112641.67802828079</v>
      </c>
      <c r="D8" s="52"/>
    </row>
    <row r="9" spans="2:5" ht="15.75" x14ac:dyDescent="0.25">
      <c r="B9" s="54" t="s">
        <v>90</v>
      </c>
      <c r="C9" s="52">
        <f>+'HojaTecnica2o Sem'!F32</f>
        <v>118344.13370163688</v>
      </c>
      <c r="D9" s="52"/>
    </row>
    <row r="10" spans="2:5" ht="15.75" x14ac:dyDescent="0.25">
      <c r="B10" s="54" t="s">
        <v>134</v>
      </c>
      <c r="C10" s="52">
        <f>+'HojaTecnica2o Sem'!G32</f>
        <v>104975</v>
      </c>
      <c r="D10" s="52"/>
    </row>
    <row r="11" spans="2:5" ht="15.75" x14ac:dyDescent="0.25">
      <c r="B11" s="183" t="s">
        <v>76</v>
      </c>
      <c r="C11" s="52"/>
      <c r="D11" s="52">
        <f>-'HojaTecnica2o Sem'!H8</f>
        <v>76000</v>
      </c>
    </row>
    <row r="12" spans="2:5" ht="15.75" x14ac:dyDescent="0.25">
      <c r="B12" s="183" t="s">
        <v>131</v>
      </c>
      <c r="C12" s="52"/>
      <c r="D12" s="52">
        <f>+'HojaTecnica2o Sem'!I19</f>
        <v>16875</v>
      </c>
    </row>
    <row r="13" spans="2:5" ht="15.75" x14ac:dyDescent="0.25">
      <c r="B13" s="183" t="s">
        <v>135</v>
      </c>
      <c r="C13" s="52"/>
      <c r="D13" s="52">
        <f>-'HojaTecnica2o Sem'!J19</f>
        <v>25000</v>
      </c>
    </row>
    <row r="14" spans="2:5" ht="15.75" x14ac:dyDescent="0.25">
      <c r="B14" s="183" t="s">
        <v>77</v>
      </c>
      <c r="C14" s="52"/>
      <c r="D14" s="52">
        <f>-'HojaTecnica2o Sem'!K32</f>
        <v>470300</v>
      </c>
    </row>
    <row r="15" spans="2:5" ht="20.25" thickBot="1" x14ac:dyDescent="0.45">
      <c r="B15" s="215" t="s">
        <v>138</v>
      </c>
      <c r="C15" s="56">
        <f>SUM(C6:C14)</f>
        <v>588175</v>
      </c>
      <c r="D15" s="56">
        <f>SUM(D11:D14)</f>
        <v>588175</v>
      </c>
      <c r="E15" s="178">
        <f>+C15-D15</f>
        <v>0</v>
      </c>
    </row>
    <row r="16" spans="2:5" ht="16.5" thickTop="1" x14ac:dyDescent="0.25">
      <c r="B16" s="51"/>
      <c r="C16" s="52"/>
      <c r="D16" s="52"/>
    </row>
    <row r="17" spans="2:5" ht="15.75" x14ac:dyDescent="0.25">
      <c r="B17" s="51"/>
      <c r="C17" s="57"/>
      <c r="D17" s="57"/>
    </row>
    <row r="18" spans="2:5" ht="15.75" x14ac:dyDescent="0.25">
      <c r="B18" s="53" t="s">
        <v>112</v>
      </c>
      <c r="C18" s="52"/>
      <c r="D18" s="52"/>
    </row>
    <row r="19" spans="2:5" ht="15.75" x14ac:dyDescent="0.25">
      <c r="B19" s="199" t="s">
        <v>92</v>
      </c>
      <c r="C19" s="200">
        <f>+'HojaTecnica2o Sem'!C39+'HojaTecnica2o Sem'!D39+'HojaTecnica2o Sem'!E39+'HojaTecnica2o Sem'!F39+D24</f>
        <v>133089.33970769387</v>
      </c>
      <c r="D19" s="52"/>
      <c r="E19" s="178"/>
    </row>
    <row r="20" spans="2:5" ht="15.75" x14ac:dyDescent="0.25">
      <c r="B20" s="183" t="s">
        <v>87</v>
      </c>
      <c r="C20" s="52"/>
      <c r="D20" s="52">
        <f>+'HojaTecnica2o Sem'!C39</f>
        <v>31793.45493052643</v>
      </c>
    </row>
    <row r="21" spans="2:5" ht="15.75" x14ac:dyDescent="0.25">
      <c r="B21" s="183" t="s">
        <v>89</v>
      </c>
      <c r="C21" s="52"/>
      <c r="D21" s="52">
        <f>+'HojaTecnica2o Sem'!D39</f>
        <v>12225.590968133487</v>
      </c>
    </row>
    <row r="22" spans="2:5" ht="15.75" x14ac:dyDescent="0.25">
      <c r="B22" s="183" t="s">
        <v>88</v>
      </c>
      <c r="C22" s="52"/>
      <c r="D22" s="52">
        <f>+'HojaTecnica2o Sem'!E39</f>
        <v>50278.196384662995</v>
      </c>
    </row>
    <row r="23" spans="2:5" ht="15.75" x14ac:dyDescent="0.25">
      <c r="B23" s="183" t="s">
        <v>90</v>
      </c>
      <c r="C23" s="52"/>
      <c r="D23" s="52">
        <f>+'HojaTecnica2o Sem'!F39</f>
        <v>24532.525312832331</v>
      </c>
    </row>
    <row r="24" spans="2:5" ht="19.5" x14ac:dyDescent="0.4">
      <c r="B24" s="192" t="s">
        <v>93</v>
      </c>
      <c r="C24" s="193"/>
      <c r="D24" s="194">
        <f>+(D20+D21+D22+D23)*0.12</f>
        <v>14259.572111538628</v>
      </c>
      <c r="E24" s="194"/>
    </row>
    <row r="25" spans="2:5" ht="17.25" thickBot="1" x14ac:dyDescent="0.35">
      <c r="B25" s="214" t="s">
        <v>136</v>
      </c>
      <c r="C25" s="56">
        <f>SUM(C19:C23)</f>
        <v>133089.33970769387</v>
      </c>
      <c r="D25" s="56">
        <f>SUM(D20:D24)</f>
        <v>133089.33970769387</v>
      </c>
      <c r="E25" s="178">
        <f>+C25-D25</f>
        <v>0</v>
      </c>
    </row>
    <row r="26" spans="2:5" ht="16.5" thickTop="1" x14ac:dyDescent="0.25">
      <c r="B26" s="51"/>
      <c r="C26" s="57"/>
      <c r="D26" s="57"/>
    </row>
    <row r="27" spans="2:5" ht="15.75" x14ac:dyDescent="0.25">
      <c r="B27" s="53" t="s">
        <v>113</v>
      </c>
      <c r="C27" s="52"/>
      <c r="D27" s="52"/>
    </row>
    <row r="28" spans="2:5" ht="15.75" x14ac:dyDescent="0.25">
      <c r="B28" s="54" t="s">
        <v>77</v>
      </c>
      <c r="C28" s="52">
        <f>SUM(D29:D32)</f>
        <v>1902154.307072093</v>
      </c>
      <c r="D28" s="52"/>
      <c r="E28" s="178"/>
    </row>
    <row r="29" spans="2:5" ht="15.75" x14ac:dyDescent="0.25">
      <c r="B29" s="183" t="s">
        <v>97</v>
      </c>
      <c r="C29" s="52"/>
      <c r="D29" s="52">
        <f>+'HojaTecnica2o Sem'!C44</f>
        <v>545460.43086304492</v>
      </c>
    </row>
    <row r="30" spans="2:5" ht="15.75" x14ac:dyDescent="0.25">
      <c r="B30" s="183" t="s">
        <v>99</v>
      </c>
      <c r="C30" s="52"/>
      <c r="D30" s="52">
        <f>+'HojaTecnica2o Sem'!D44</f>
        <v>576476.9669669905</v>
      </c>
    </row>
    <row r="31" spans="2:5" ht="15.75" x14ac:dyDescent="0.25">
      <c r="B31" s="183" t="s">
        <v>98</v>
      </c>
      <c r="C31" s="52"/>
      <c r="D31" s="52">
        <f>+'HojaTecnica2o Sem'!E44</f>
        <v>359495.5610015032</v>
      </c>
    </row>
    <row r="32" spans="2:5" ht="15.75" x14ac:dyDescent="0.25">
      <c r="B32" s="183" t="s">
        <v>100</v>
      </c>
      <c r="C32" s="52"/>
      <c r="D32" s="52">
        <f>+'HojaTecnica2o Sem'!F44</f>
        <v>420721.34824055439</v>
      </c>
    </row>
    <row r="33" spans="2:6" ht="20.25" thickBot="1" x14ac:dyDescent="0.45">
      <c r="B33" s="213" t="s">
        <v>121</v>
      </c>
      <c r="C33" s="56">
        <f>SUM(C28:C32)</f>
        <v>1902154.307072093</v>
      </c>
      <c r="D33" s="56">
        <f>SUM(D29:D32)</f>
        <v>1902154.307072093</v>
      </c>
      <c r="E33" s="178">
        <f>+C33-D33</f>
        <v>0</v>
      </c>
    </row>
    <row r="34" spans="2:6" ht="16.5" thickTop="1" x14ac:dyDescent="0.25">
      <c r="B34" s="51"/>
      <c r="C34" s="52"/>
      <c r="D34" s="52"/>
    </row>
    <row r="35" spans="2:6" ht="15.75" x14ac:dyDescent="0.25">
      <c r="B35" s="53" t="s">
        <v>114</v>
      </c>
      <c r="C35" s="52"/>
      <c r="D35" s="52"/>
    </row>
    <row r="36" spans="2:6" ht="15.75" x14ac:dyDescent="0.25">
      <c r="B36" s="54" t="s">
        <v>101</v>
      </c>
      <c r="C36" s="55">
        <f>+'HojaTecnica2o Sem'!C42</f>
        <v>270244.36690947466</v>
      </c>
      <c r="D36" s="55"/>
      <c r="E36" s="178"/>
    </row>
    <row r="37" spans="2:6" ht="15.75" x14ac:dyDescent="0.25">
      <c r="B37" s="54" t="s">
        <v>103</v>
      </c>
      <c r="C37" s="55">
        <f>+'HojaTecnica2o Sem'!D42</f>
        <v>287301.38775113696</v>
      </c>
      <c r="D37" s="55"/>
      <c r="E37" s="178"/>
    </row>
    <row r="38" spans="2:6" ht="15.75" x14ac:dyDescent="0.25">
      <c r="B38" s="54" t="s">
        <v>102</v>
      </c>
      <c r="C38" s="55">
        <f>+'HojaTecnica2o Sem'!E42</f>
        <v>175973.68734632048</v>
      </c>
      <c r="D38" s="55"/>
      <c r="E38" s="178"/>
    </row>
    <row r="39" spans="2:6" ht="15.75" x14ac:dyDescent="0.25">
      <c r="B39" s="54" t="s">
        <v>104</v>
      </c>
      <c r="C39" s="55">
        <f>+'HojaTecnica2o Sem'!F42</f>
        <v>208526.46515907481</v>
      </c>
      <c r="D39" s="55"/>
      <c r="E39" s="178"/>
      <c r="F39" s="178"/>
    </row>
    <row r="40" spans="2:6" ht="15.75" x14ac:dyDescent="0.25">
      <c r="B40" s="183" t="s">
        <v>87</v>
      </c>
      <c r="C40" s="55"/>
      <c r="D40" s="55">
        <f>+'HojaTecnica1er Sem'!C51</f>
        <v>190244.36690947466</v>
      </c>
    </row>
    <row r="41" spans="2:6" ht="15.75" x14ac:dyDescent="0.25">
      <c r="B41" s="183" t="s">
        <v>89</v>
      </c>
      <c r="C41" s="55"/>
      <c r="D41" s="55">
        <f>+'HojaTecnica1er Sem'!D51</f>
        <v>259301.38775113696</v>
      </c>
    </row>
    <row r="42" spans="2:6" ht="15.75" x14ac:dyDescent="0.25">
      <c r="B42" s="183" t="s">
        <v>88</v>
      </c>
      <c r="C42" s="55"/>
      <c r="D42" s="55">
        <f>+'HojaTecnica1er Sem'!E51</f>
        <v>147973.68734632051</v>
      </c>
    </row>
    <row r="43" spans="2:6" ht="15.75" x14ac:dyDescent="0.25">
      <c r="B43" s="183" t="s">
        <v>90</v>
      </c>
      <c r="C43" s="55"/>
      <c r="D43" s="55">
        <f>+'HojaTecnica1er Sem'!F51</f>
        <v>196526.46515907481</v>
      </c>
    </row>
    <row r="44" spans="2:6" ht="15.75" x14ac:dyDescent="0.25">
      <c r="B44" s="183" t="s">
        <v>74</v>
      </c>
      <c r="C44" s="55"/>
      <c r="D44" s="55">
        <f>+'HojaTecnica1er Sem'!C7</f>
        <v>80000</v>
      </c>
    </row>
    <row r="45" spans="2:6" ht="15.75" x14ac:dyDescent="0.25">
      <c r="B45" s="183" t="s">
        <v>83</v>
      </c>
      <c r="C45" s="55"/>
      <c r="D45" s="55">
        <f>+'HojaTecnica1er Sem'!D7</f>
        <v>28000</v>
      </c>
    </row>
    <row r="46" spans="2:6" ht="15.75" x14ac:dyDescent="0.25">
      <c r="B46" s="183" t="s">
        <v>75</v>
      </c>
      <c r="C46" s="55"/>
      <c r="D46" s="55">
        <f>+'HojaTecnica1er Sem'!E7</f>
        <v>28000</v>
      </c>
    </row>
    <row r="47" spans="2:6" ht="15.75" x14ac:dyDescent="0.25">
      <c r="B47" s="183" t="s">
        <v>84</v>
      </c>
      <c r="C47" s="55"/>
      <c r="D47" s="55">
        <f>+'HojaTecnica1er Sem'!F7</f>
        <v>12000</v>
      </c>
    </row>
    <row r="48" spans="2:6" ht="20.25" thickBot="1" x14ac:dyDescent="0.45">
      <c r="B48" s="213" t="s">
        <v>139</v>
      </c>
      <c r="C48" s="59">
        <f>SUM(C36:C47)</f>
        <v>942045.90716600697</v>
      </c>
      <c r="D48" s="59">
        <f>SUM(D40:D47)</f>
        <v>942045.90716600697</v>
      </c>
      <c r="E48" s="178">
        <f>+C48-D48</f>
        <v>0</v>
      </c>
    </row>
    <row r="49" spans="2:7" ht="16.5" thickTop="1" x14ac:dyDescent="0.25">
      <c r="B49" s="51"/>
      <c r="C49" s="52"/>
      <c r="D49" s="52"/>
    </row>
    <row r="50" spans="2:7" ht="15.75" x14ac:dyDescent="0.25">
      <c r="B50" s="226" t="s">
        <v>105</v>
      </c>
      <c r="C50" s="226"/>
      <c r="D50" s="226"/>
    </row>
    <row r="51" spans="2:7" ht="15.75" x14ac:dyDescent="0.25">
      <c r="B51" s="51"/>
      <c r="C51" s="52"/>
      <c r="D51" s="52"/>
    </row>
    <row r="52" spans="2:7" ht="15.75" x14ac:dyDescent="0.25">
      <c r="B52" s="53" t="s">
        <v>115</v>
      </c>
      <c r="C52" s="52"/>
      <c r="D52" s="52"/>
    </row>
    <row r="53" spans="2:7" ht="15.75" x14ac:dyDescent="0.25">
      <c r="B53" s="54" t="s">
        <v>97</v>
      </c>
      <c r="C53" s="52">
        <f>+'HojaTecnica2o Sem'!C44</f>
        <v>545460.43086304492</v>
      </c>
      <c r="D53" s="52"/>
      <c r="E53" s="178"/>
    </row>
    <row r="54" spans="2:7" ht="15.75" x14ac:dyDescent="0.25">
      <c r="B54" s="54" t="s">
        <v>99</v>
      </c>
      <c r="C54" s="52">
        <f>+'HojaTecnica2o Sem'!D44</f>
        <v>576476.9669669905</v>
      </c>
    </row>
    <row r="55" spans="2:7" ht="15.75" x14ac:dyDescent="0.25">
      <c r="B55" s="54" t="s">
        <v>98</v>
      </c>
      <c r="C55" s="52">
        <f>+'HojaTecnica2o Sem'!E44</f>
        <v>359495.5610015032</v>
      </c>
      <c r="D55" s="52"/>
    </row>
    <row r="56" spans="2:7" ht="15.75" x14ac:dyDescent="0.25">
      <c r="B56" s="54" t="s">
        <v>100</v>
      </c>
      <c r="C56" s="52">
        <f>+'HojaTecnica2o Sem'!F44</f>
        <v>420721.34824055439</v>
      </c>
      <c r="D56" s="52"/>
    </row>
    <row r="57" spans="2:7" ht="15.75" x14ac:dyDescent="0.25">
      <c r="B57" s="54" t="s">
        <v>101</v>
      </c>
      <c r="C57" s="52"/>
      <c r="D57" s="52">
        <f>+C36</f>
        <v>270244.36690947466</v>
      </c>
    </row>
    <row r="58" spans="2:7" ht="15.75" x14ac:dyDescent="0.25">
      <c r="B58" s="54" t="s">
        <v>103</v>
      </c>
      <c r="C58" s="52"/>
      <c r="D58" s="52">
        <f>+C37</f>
        <v>287301.38775113696</v>
      </c>
    </row>
    <row r="59" spans="2:7" ht="15.75" x14ac:dyDescent="0.25">
      <c r="B59" s="54" t="s">
        <v>102</v>
      </c>
      <c r="C59" s="52"/>
      <c r="D59" s="52">
        <f>+C38</f>
        <v>175973.68734632048</v>
      </c>
    </row>
    <row r="60" spans="2:7" ht="15.75" x14ac:dyDescent="0.25">
      <c r="B60" s="54" t="s">
        <v>104</v>
      </c>
      <c r="C60" s="52"/>
      <c r="D60" s="52">
        <f>+C39</f>
        <v>208526.46515907481</v>
      </c>
    </row>
    <row r="61" spans="2:7" ht="15.75" x14ac:dyDescent="0.25">
      <c r="B61" s="199" t="s">
        <v>92</v>
      </c>
      <c r="C61" s="200"/>
      <c r="D61" s="200">
        <f>+jornalización!D38+jornalizacion!C19</f>
        <v>168583.26557407225</v>
      </c>
      <c r="E61" s="191">
        <f>+'HojaTecnica1er Sem'!I35</f>
        <v>35493.925866378384</v>
      </c>
      <c r="F61" s="191">
        <f>+'HojaTecnica2o Sem'!I39</f>
        <v>133089.33970769387</v>
      </c>
      <c r="G61" s="191">
        <f>+E61+F61</f>
        <v>168583.26557407225</v>
      </c>
    </row>
    <row r="62" spans="2:7" ht="15.75" x14ac:dyDescent="0.25">
      <c r="B62" s="54" t="s">
        <v>49</v>
      </c>
      <c r="C62" s="52"/>
      <c r="D62" s="52">
        <f>+'HojaTecnica2o Sem'!G33</f>
        <v>129950</v>
      </c>
    </row>
    <row r="63" spans="2:7" ht="15.75" x14ac:dyDescent="0.25">
      <c r="B63" s="54" t="s">
        <v>106</v>
      </c>
      <c r="C63" s="52"/>
      <c r="D63" s="52">
        <v>661575.13</v>
      </c>
      <c r="G63" s="178"/>
    </row>
    <row r="64" spans="2:7" ht="20.25" thickBot="1" x14ac:dyDescent="0.45">
      <c r="B64" s="213" t="s">
        <v>107</v>
      </c>
      <c r="C64" s="56">
        <f>SUM(C53:C63)</f>
        <v>1902154.307072093</v>
      </c>
      <c r="D64" s="56">
        <f>SUM(D57:D63)</f>
        <v>1902154.3027400794</v>
      </c>
      <c r="E64" s="178">
        <f>+C64-D64</f>
        <v>4.3320136610418558E-3</v>
      </c>
    </row>
    <row r="65" spans="2:7" ht="16.5" thickTop="1" x14ac:dyDescent="0.25">
      <c r="B65" s="51"/>
      <c r="C65" s="52"/>
      <c r="D65" s="52"/>
    </row>
    <row r="66" spans="2:7" ht="15.75" x14ac:dyDescent="0.25">
      <c r="B66" s="53" t="s">
        <v>116</v>
      </c>
      <c r="C66" s="52"/>
      <c r="D66" s="52"/>
    </row>
    <row r="67" spans="2:7" ht="15.75" x14ac:dyDescent="0.25">
      <c r="B67" s="54" t="s">
        <v>106</v>
      </c>
      <c r="C67" s="52">
        <f>+D63</f>
        <v>661575.13</v>
      </c>
      <c r="D67" s="52"/>
      <c r="E67" s="178">
        <f>+C67-D68</f>
        <v>628496.37349999999</v>
      </c>
    </row>
    <row r="68" spans="2:7" ht="15.75" x14ac:dyDescent="0.25">
      <c r="B68" s="54" t="s">
        <v>141</v>
      </c>
      <c r="C68" s="52"/>
      <c r="D68" s="52">
        <f>+C67*0.05</f>
        <v>33078.756500000003</v>
      </c>
      <c r="G68" s="202"/>
    </row>
    <row r="69" spans="2:7" ht="15.75" x14ac:dyDescent="0.25">
      <c r="B69" s="54" t="s">
        <v>140</v>
      </c>
      <c r="C69" s="52"/>
      <c r="D69" s="52">
        <f>+E67*0.3</f>
        <v>188548.91204999998</v>
      </c>
      <c r="E69" s="178">
        <f>+D69/E67</f>
        <v>0.3</v>
      </c>
      <c r="G69" s="202"/>
    </row>
    <row r="70" spans="2:7" ht="15.75" x14ac:dyDescent="0.25">
      <c r="B70" s="54" t="s">
        <v>108</v>
      </c>
      <c r="C70" s="52"/>
      <c r="D70" s="52">
        <f>+C67-D68-D69</f>
        <v>439947.46145</v>
      </c>
      <c r="G70" s="202"/>
    </row>
    <row r="71" spans="2:7" ht="20.25" thickBot="1" x14ac:dyDescent="0.45">
      <c r="B71" s="213" t="s">
        <v>109</v>
      </c>
      <c r="C71" s="56">
        <f>SUM(C67:C70)</f>
        <v>661575.13</v>
      </c>
      <c r="D71" s="56">
        <f>SUM(D67:D70)</f>
        <v>661575.13</v>
      </c>
      <c r="E71" s="178">
        <f>+C71-D71</f>
        <v>0</v>
      </c>
      <c r="G71" s="202"/>
    </row>
    <row r="72" spans="2:7" ht="16.5" thickTop="1" x14ac:dyDescent="0.25">
      <c r="B72" s="51"/>
      <c r="C72" s="52"/>
      <c r="D72" s="52"/>
    </row>
  </sheetData>
  <mergeCells count="4">
    <mergeCell ref="B1:D1"/>
    <mergeCell ref="B2:D2"/>
    <mergeCell ref="B3:D3"/>
    <mergeCell ref="B50:D50"/>
  </mergeCells>
  <pageMargins left="1.1811023622047245" right="0.11811023622047245" top="0.59055118110236227" bottom="0.39370078740157483" header="0.31496062992125984" footer="0.31496062992125984"/>
  <pageSetup paperSize="5"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HojaTecnica1er Sem</vt:lpstr>
      <vt:lpstr>Anexos 1er. Sem</vt:lpstr>
      <vt:lpstr>jornalización</vt:lpstr>
      <vt:lpstr>HojaTecnica2o Sem</vt:lpstr>
      <vt:lpstr>Anexos 2o. Sem</vt:lpstr>
      <vt:lpstr>jornalizacion</vt:lpstr>
    </vt:vector>
  </TitlesOfParts>
  <Company>Ninguna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JulioCesaR</dc:creator>
  <cp:lastModifiedBy>Usuario</cp:lastModifiedBy>
  <cp:lastPrinted>2014-03-01T04:30:55Z</cp:lastPrinted>
  <dcterms:created xsi:type="dcterms:W3CDTF">2011-05-09T04:37:28Z</dcterms:created>
  <dcterms:modified xsi:type="dcterms:W3CDTF">2014-03-01T04:47:24Z</dcterms:modified>
</cp:coreProperties>
</file>