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5" yWindow="225" windowWidth="15345" windowHeight="4215" activeTab="4"/>
  </bookViews>
  <sheets>
    <sheet name="HCP Primer Sem." sheetId="4" r:id="rId1"/>
    <sheet name="Anexos Primer Sem." sheetId="6" r:id="rId2"/>
    <sheet name="Depre. Primer Sem." sheetId="7" r:id="rId3"/>
    <sheet name="Partidas Primer Sem." sheetId="11" r:id="rId4"/>
    <sheet name="HCP Segundo Sem." sheetId="14" r:id="rId5"/>
    <sheet name="Anexos Segundo Sem." sheetId="15" r:id="rId6"/>
    <sheet name="Depre. Segundo Sem." sheetId="16" r:id="rId7"/>
    <sheet name="Partidas Segundo Sem" sheetId="18" r:id="rId8"/>
    <sheet name="Estado R." sheetId="13" r:id="rId9"/>
  </sheets>
  <externalReferences>
    <externalReference r:id="rId10"/>
  </externalReferences>
  <definedNames>
    <definedName name="_xlnm.Print_Titles" localSheetId="0">'HCP Primer Sem.'!$6:$6</definedName>
    <definedName name="_xlnm.Print_Titles" localSheetId="4">'HCP Segundo Sem.'!$3:$3</definedName>
  </definedNames>
  <calcPr calcId="124519"/>
</workbook>
</file>

<file path=xl/calcChain.xml><?xml version="1.0" encoding="utf-8"?>
<calcChain xmlns="http://schemas.openxmlformats.org/spreadsheetml/2006/main">
  <c r="E19" i="18"/>
  <c r="E23" s="1"/>
  <c r="V38" i="14"/>
  <c r="V36"/>
  <c r="R38"/>
  <c r="R28"/>
  <c r="N27"/>
  <c r="N25"/>
  <c r="N24"/>
  <c r="N23"/>
  <c r="N22"/>
  <c r="N21"/>
  <c r="R10"/>
  <c r="N7"/>
  <c r="D23" i="18"/>
  <c r="P36" i="14" l="1"/>
  <c r="E33"/>
  <c r="O36"/>
  <c r="O21"/>
  <c r="I20"/>
  <c r="K20"/>
  <c r="E45" i="18" l="1"/>
  <c r="E44"/>
  <c r="D43"/>
  <c r="D42"/>
  <c r="D39"/>
  <c r="E57" s="1"/>
  <c r="D38"/>
  <c r="E56" s="1"/>
  <c r="D37"/>
  <c r="E55" s="1"/>
  <c r="E34"/>
  <c r="D54" s="1"/>
  <c r="E33"/>
  <c r="D53" s="1"/>
  <c r="E32"/>
  <c r="D52" s="1"/>
  <c r="E27"/>
  <c r="E26"/>
  <c r="D8"/>
  <c r="D7"/>
  <c r="E46" l="1"/>
  <c r="E48"/>
  <c r="D10"/>
  <c r="D49"/>
  <c r="D59"/>
  <c r="E58" s="1"/>
  <c r="E9"/>
  <c r="E10" s="1"/>
  <c r="E28"/>
  <c r="E29" s="1"/>
  <c r="D25" s="1"/>
  <c r="D29" s="1"/>
  <c r="E35"/>
  <c r="D31"/>
  <c r="D35" s="1"/>
  <c r="E47"/>
  <c r="E49" l="1"/>
  <c r="E59"/>
  <c r="D28" i="11" l="1"/>
  <c r="E32"/>
  <c r="E30"/>
  <c r="I25" i="4"/>
  <c r="H25"/>
  <c r="G25"/>
  <c r="G9"/>
  <c r="H22" l="1"/>
  <c r="H16" s="1"/>
  <c r="F10" i="6" l="1"/>
  <c r="E50" i="14"/>
  <c r="E49"/>
  <c r="E51" s="1"/>
  <c r="E54" i="15"/>
  <c r="E32" i="16"/>
  <c r="F31" s="1"/>
  <c r="G31" s="1"/>
  <c r="J13" s="1"/>
  <c r="E16"/>
  <c r="G16" s="1"/>
  <c r="M16" s="1"/>
  <c r="E14"/>
  <c r="F14" s="1"/>
  <c r="L14" s="1"/>
  <c r="E15" i="7"/>
  <c r="F15" s="1"/>
  <c r="K15" s="1"/>
  <c r="J15" s="1"/>
  <c r="E17"/>
  <c r="G17" s="1"/>
  <c r="K17" s="1"/>
  <c r="J17" s="1"/>
  <c r="M14" i="16" l="1"/>
  <c r="F28"/>
  <c r="G28" s="1"/>
  <c r="F30"/>
  <c r="G30" s="1"/>
  <c r="K13" s="1"/>
  <c r="L16"/>
  <c r="F29"/>
  <c r="G29" s="1"/>
  <c r="I13" s="1"/>
  <c r="G10"/>
  <c r="F10"/>
  <c r="C10"/>
  <c r="E10" s="1"/>
  <c r="K10" s="1"/>
  <c r="G9"/>
  <c r="F9"/>
  <c r="C9"/>
  <c r="E9" s="1"/>
  <c r="E8"/>
  <c r="K8" s="1"/>
  <c r="M8" s="1"/>
  <c r="C8"/>
  <c r="E7"/>
  <c r="C7"/>
  <c r="D27" i="14"/>
  <c r="C27"/>
  <c r="C26"/>
  <c r="D26"/>
  <c r="F26"/>
  <c r="E26"/>
  <c r="C44" i="15"/>
  <c r="D42" s="1"/>
  <c r="E29" i="14" s="1"/>
  <c r="F25"/>
  <c r="E25"/>
  <c r="D25"/>
  <c r="C25"/>
  <c r="G16" i="15"/>
  <c r="H13" i="14" s="1"/>
  <c r="C16" i="15"/>
  <c r="H12" i="14" s="1"/>
  <c r="H12" i="15"/>
  <c r="D17" i="14" s="1"/>
  <c r="H11" i="15"/>
  <c r="C17" i="14" s="1"/>
  <c r="D12" i="15"/>
  <c r="D16" i="14" s="1"/>
  <c r="D11" i="15"/>
  <c r="C16" i="14" s="1"/>
  <c r="D5" i="15"/>
  <c r="C22" i="14"/>
  <c r="G21"/>
  <c r="F21"/>
  <c r="F23" s="1"/>
  <c r="E21"/>
  <c r="E23" s="1"/>
  <c r="D21"/>
  <c r="D23" s="1"/>
  <c r="C21"/>
  <c r="C23" s="1"/>
  <c r="D32" i="15"/>
  <c r="C9" i="14" s="1"/>
  <c r="D29" i="15"/>
  <c r="D35" s="1"/>
  <c r="F9" i="14" s="1"/>
  <c r="C36" i="15"/>
  <c r="D23"/>
  <c r="D8" i="14" s="1"/>
  <c r="D22" i="15"/>
  <c r="C8" i="14" s="1"/>
  <c r="M7"/>
  <c r="K7" s="1"/>
  <c r="C14" i="7"/>
  <c r="E14" s="1"/>
  <c r="H14" s="1"/>
  <c r="C13"/>
  <c r="E13" s="1"/>
  <c r="K9"/>
  <c r="C12"/>
  <c r="E12" s="1"/>
  <c r="K8"/>
  <c r="C11"/>
  <c r="E11" s="1"/>
  <c r="I11" s="1"/>
  <c r="I19" s="1"/>
  <c r="F24" i="4" s="1"/>
  <c r="G10" i="7"/>
  <c r="F10"/>
  <c r="C10"/>
  <c r="E10" s="1"/>
  <c r="C9"/>
  <c r="E9" s="1"/>
  <c r="J8"/>
  <c r="J19" s="1"/>
  <c r="J24" i="4" s="1"/>
  <c r="J16" s="1"/>
  <c r="J25" s="1"/>
  <c r="E31" i="11" s="1"/>
  <c r="E33" s="1"/>
  <c r="C8" i="7"/>
  <c r="E8" s="1"/>
  <c r="L8" s="1"/>
  <c r="D35" i="11" s="1"/>
  <c r="G14" i="6"/>
  <c r="H14" s="1"/>
  <c r="C17" s="1"/>
  <c r="K23" i="4"/>
  <c r="I23"/>
  <c r="M36" i="14"/>
  <c r="D19" i="15"/>
  <c r="C9" i="4"/>
  <c r="E11"/>
  <c r="G11"/>
  <c r="J11"/>
  <c r="H6" i="14"/>
  <c r="G6"/>
  <c r="I6"/>
  <c r="L6"/>
  <c r="M10"/>
  <c r="C24" i="15"/>
  <c r="D24" s="1"/>
  <c r="F40" i="14"/>
  <c r="D40"/>
  <c r="E40"/>
  <c r="C40"/>
  <c r="I19" i="16"/>
  <c r="F30" i="14" s="1"/>
  <c r="J19" i="16"/>
  <c r="H30" i="14" s="1"/>
  <c r="C13" i="16"/>
  <c r="E13" s="1"/>
  <c r="M12"/>
  <c r="C12"/>
  <c r="E12" s="1"/>
  <c r="M11"/>
  <c r="C11"/>
  <c r="E11" s="1"/>
  <c r="M28" i="14"/>
  <c r="C25" i="15"/>
  <c r="D25" s="1"/>
  <c r="F8" i="14" s="1"/>
  <c r="F6" s="1"/>
  <c r="B23" i="15"/>
  <c r="B33" s="1"/>
  <c r="B41" s="1"/>
  <c r="B22"/>
  <c r="B32" s="1"/>
  <c r="B40" s="1"/>
  <c r="B9"/>
  <c r="B25" s="1"/>
  <c r="B35" s="1"/>
  <c r="B43" s="1"/>
  <c r="B8"/>
  <c r="F8" s="1"/>
  <c r="H5"/>
  <c r="G10"/>
  <c r="C10"/>
  <c r="D9" s="1"/>
  <c r="F16" i="14" s="1"/>
  <c r="F18" s="1"/>
  <c r="I34"/>
  <c r="G22"/>
  <c r="M22" s="1"/>
  <c r="M4"/>
  <c r="J9" i="4"/>
  <c r="K12" i="7"/>
  <c r="K13"/>
  <c r="G11"/>
  <c r="F11"/>
  <c r="D21" i="4"/>
  <c r="C21"/>
  <c r="D13"/>
  <c r="C13"/>
  <c r="D12"/>
  <c r="D14" s="1"/>
  <c r="C12"/>
  <c r="C14" s="1"/>
  <c r="F18"/>
  <c r="D18"/>
  <c r="C18"/>
  <c r="F17"/>
  <c r="D17"/>
  <c r="C17"/>
  <c r="K10"/>
  <c r="K9" s="1"/>
  <c r="D5" i="6"/>
  <c r="D8" s="1"/>
  <c r="E39" i="11"/>
  <c r="D23"/>
  <c r="E22" s="1"/>
  <c r="E23" s="1"/>
  <c r="K7" i="4"/>
  <c r="K22"/>
  <c r="D9"/>
  <c r="E9"/>
  <c r="F9"/>
  <c r="I9"/>
  <c r="K8"/>
  <c r="B9" i="6"/>
  <c r="B18" s="1"/>
  <c r="B8"/>
  <c r="B17" s="1"/>
  <c r="C10"/>
  <c r="C26" i="15"/>
  <c r="R30" i="14" l="1"/>
  <c r="H20"/>
  <c r="R12"/>
  <c r="M13"/>
  <c r="K13" s="1"/>
  <c r="R13"/>
  <c r="D18"/>
  <c r="C18"/>
  <c r="G19" i="16"/>
  <c r="D30" i="14" s="1"/>
  <c r="H19" i="7"/>
  <c r="E24" i="4" s="1"/>
  <c r="E16" s="1"/>
  <c r="E25" s="1"/>
  <c r="D27" i="11" s="1"/>
  <c r="K14" i="7"/>
  <c r="D20" i="4"/>
  <c r="K17"/>
  <c r="F19"/>
  <c r="F16" s="1"/>
  <c r="F25" s="1"/>
  <c r="D29" i="11" s="1"/>
  <c r="E62" i="18" s="1"/>
  <c r="K14" i="4"/>
  <c r="I14" s="1"/>
  <c r="K13"/>
  <c r="I13" s="1"/>
  <c r="K21"/>
  <c r="H8" i="15"/>
  <c r="E17" i="14" s="1"/>
  <c r="N17" s="1"/>
  <c r="F9" i="15"/>
  <c r="D9" i="6"/>
  <c r="D10" s="1"/>
  <c r="K18" i="4"/>
  <c r="H9" i="15"/>
  <c r="G19" i="7"/>
  <c r="D24" i="4" s="1"/>
  <c r="D34" i="15"/>
  <c r="E9" i="14" s="1"/>
  <c r="M25"/>
  <c r="M27"/>
  <c r="K27" s="1"/>
  <c r="K11" i="7"/>
  <c r="E19"/>
  <c r="F19"/>
  <c r="D8" i="15"/>
  <c r="E16" i="14" s="1"/>
  <c r="N16" s="1"/>
  <c r="K7" i="16"/>
  <c r="M7" s="1"/>
  <c r="L7" s="1"/>
  <c r="L19" s="1"/>
  <c r="E19"/>
  <c r="M9"/>
  <c r="F19"/>
  <c r="C30" i="14" s="1"/>
  <c r="M10" i="16"/>
  <c r="G32"/>
  <c r="H13"/>
  <c r="F24" i="14"/>
  <c r="D24"/>
  <c r="M26"/>
  <c r="F17"/>
  <c r="E8"/>
  <c r="N8" s="1"/>
  <c r="D26" i="15"/>
  <c r="F11" i="4"/>
  <c r="C20"/>
  <c r="D19"/>
  <c r="F20"/>
  <c r="D15"/>
  <c r="C18" i="6"/>
  <c r="C19" s="1"/>
  <c r="K10" i="7"/>
  <c r="K19" s="1"/>
  <c r="C24" i="14"/>
  <c r="E24"/>
  <c r="G24"/>
  <c r="D13" i="15"/>
  <c r="K12" i="4"/>
  <c r="I12" s="1"/>
  <c r="C19"/>
  <c r="C15"/>
  <c r="C24"/>
  <c r="D33" i="15"/>
  <c r="D9" i="14" s="1"/>
  <c r="D6" s="1"/>
  <c r="M21"/>
  <c r="G23"/>
  <c r="H13" i="15"/>
  <c r="K19" i="16"/>
  <c r="G30" i="14" s="1"/>
  <c r="D41" i="15"/>
  <c r="D29" i="14" s="1"/>
  <c r="D20" s="1"/>
  <c r="D43" i="15"/>
  <c r="F29" i="14" s="1"/>
  <c r="F20" s="1"/>
  <c r="D40" i="15"/>
  <c r="C29" i="14" s="1"/>
  <c r="H14"/>
  <c r="H15"/>
  <c r="M12"/>
  <c r="C19"/>
  <c r="D19"/>
  <c r="F19"/>
  <c r="C6"/>
  <c r="B24" i="15"/>
  <c r="B34" s="1"/>
  <c r="B42" s="1"/>
  <c r="M15" i="14" l="1"/>
  <c r="K15" s="1"/>
  <c r="R15"/>
  <c r="M14"/>
  <c r="K14" s="1"/>
  <c r="R14"/>
  <c r="C20"/>
  <c r="N29"/>
  <c r="D61" i="18"/>
  <c r="E63"/>
  <c r="C11" i="14"/>
  <c r="C33"/>
  <c r="D11"/>
  <c r="D33" s="1"/>
  <c r="N9"/>
  <c r="R34"/>
  <c r="M8"/>
  <c r="K8" s="1"/>
  <c r="E6"/>
  <c r="O24"/>
  <c r="M17"/>
  <c r="K17" s="1"/>
  <c r="D16" i="4"/>
  <c r="D25" s="1"/>
  <c r="D26" i="11" s="1"/>
  <c r="C16" i="4"/>
  <c r="C25" s="1"/>
  <c r="D25" i="11" s="1"/>
  <c r="K15" i="4"/>
  <c r="I15" s="1"/>
  <c r="I11" s="1"/>
  <c r="H10" i="15"/>
  <c r="D36"/>
  <c r="D44"/>
  <c r="D10"/>
  <c r="E19" i="14"/>
  <c r="M19" s="1"/>
  <c r="K19" s="1"/>
  <c r="E18"/>
  <c r="N18" s="1"/>
  <c r="M16"/>
  <c r="K16" s="1"/>
  <c r="D11" i="4"/>
  <c r="K19"/>
  <c r="I19" s="1"/>
  <c r="I16" s="1"/>
  <c r="M13" i="16"/>
  <c r="M19" s="1"/>
  <c r="H19"/>
  <c r="E30" i="14" s="1"/>
  <c r="E20" s="1"/>
  <c r="M29"/>
  <c r="M24"/>
  <c r="K24" s="1"/>
  <c r="K20" i="4"/>
  <c r="I20" s="1"/>
  <c r="M23" i="14"/>
  <c r="K23" s="1"/>
  <c r="M9"/>
  <c r="C11" i="4"/>
  <c r="K12" i="14"/>
  <c r="K24" i="4"/>
  <c r="D63" i="18" l="1"/>
  <c r="D65"/>
  <c r="N19" i="14"/>
  <c r="N34" s="1"/>
  <c r="M30"/>
  <c r="M34" s="1"/>
  <c r="D33" i="11"/>
  <c r="K16" i="4"/>
  <c r="K25" s="1"/>
  <c r="L30" i="14"/>
  <c r="K11" i="4"/>
  <c r="M18" i="14"/>
  <c r="K18" s="1"/>
  <c r="K9"/>
  <c r="K6" s="1"/>
  <c r="M6"/>
  <c r="L34" l="1"/>
  <c r="L33"/>
  <c r="E66" i="18"/>
  <c r="E67" s="1"/>
  <c r="D67"/>
  <c r="K33" i="14"/>
  <c r="C26" i="4"/>
  <c r="C28" s="1"/>
  <c r="C33" l="1"/>
  <c r="C5" i="14" s="1"/>
  <c r="C37" i="4"/>
  <c r="E37" l="1"/>
  <c r="C30" l="1"/>
  <c r="E5" i="14" l="1"/>
  <c r="D26" i="4" l="1"/>
  <c r="D28" s="1"/>
  <c r="D33" l="1"/>
  <c r="D5" i="14" s="1"/>
  <c r="C38" i="4"/>
  <c r="E38" l="1"/>
  <c r="D30" l="1"/>
  <c r="F5" i="14" l="1"/>
  <c r="M5" l="1"/>
  <c r="G48" i="15" l="1"/>
  <c r="F54" s="1"/>
  <c r="F53" l="1"/>
  <c r="G53" s="1"/>
  <c r="F50"/>
  <c r="G50" s="1"/>
  <c r="F51"/>
  <c r="G51" s="1"/>
  <c r="F32" i="14" s="1"/>
  <c r="F52" i="15"/>
  <c r="G52" s="1"/>
  <c r="G32" i="14" s="1"/>
  <c r="G34" l="1"/>
  <c r="G33"/>
  <c r="G20"/>
  <c r="F33"/>
  <c r="F34"/>
  <c r="P32"/>
  <c r="G54" i="15"/>
  <c r="E32" i="14"/>
  <c r="E34" l="1"/>
  <c r="O32"/>
  <c r="H32"/>
  <c r="H34" s="1"/>
  <c r="H35" l="1"/>
  <c r="S34"/>
  <c r="H33"/>
  <c r="D34"/>
  <c r="D35" s="1"/>
  <c r="D37" s="1"/>
  <c r="D41" l="1"/>
  <c r="D39"/>
  <c r="C34"/>
  <c r="C35" s="1"/>
  <c r="C37" s="1"/>
  <c r="C41" l="1"/>
  <c r="C39"/>
  <c r="E35"/>
  <c r="E37" s="1"/>
  <c r="E39" s="1"/>
  <c r="E41" l="1"/>
  <c r="E45" l="1"/>
  <c r="H45" s="1"/>
  <c r="E46" l="1"/>
  <c r="F35"/>
  <c r="F37" s="1"/>
  <c r="F39" l="1"/>
  <c r="F41"/>
  <c r="F45" l="1"/>
  <c r="I45" s="1"/>
  <c r="F46" l="1"/>
  <c r="G35"/>
  <c r="I11"/>
  <c r="K11"/>
  <c r="M11"/>
  <c r="L11"/>
  <c r="G11"/>
  <c r="G16" i="4"/>
  <c r="E11" i="14"/>
  <c r="M15" i="7"/>
  <c r="D36" i="11"/>
  <c r="D39"/>
  <c r="M13" i="7"/>
  <c r="M14"/>
  <c r="D37" i="11"/>
  <c r="F11" i="14"/>
  <c r="H11"/>
</calcChain>
</file>

<file path=xl/comments1.xml><?xml version="1.0" encoding="utf-8"?>
<comments xmlns="http://schemas.openxmlformats.org/spreadsheetml/2006/main">
  <authors>
    <author>Usuario</author>
  </authors>
  <commentList>
    <comment ref="C29" authorId="0">
      <text>
        <r>
          <rPr>
            <sz val="9"/>
            <color indexed="81"/>
            <rFont val="Tahoma"/>
            <family val="2"/>
          </rPr>
          <t xml:space="preserve">Terneras
</t>
        </r>
      </text>
    </comment>
    <comment ref="D29" authorId="0">
      <text>
        <r>
          <rPr>
            <sz val="9"/>
            <color indexed="81"/>
            <rFont val="Tahoma"/>
            <family val="2"/>
          </rPr>
          <t>Ovejas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H14" authorId="0">
      <text>
        <r>
          <rPr>
            <sz val="9"/>
            <color indexed="81"/>
            <rFont val="Tahoma"/>
            <family val="2"/>
          </rPr>
          <t>Criterio del Lic. Requena, la Licda de Leon es de ponerlo en Ganado Lechero.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Pérdida en venta de un semental.</t>
        </r>
      </text>
    </comment>
  </commentList>
</comments>
</file>

<file path=xl/sharedStrings.xml><?xml version="1.0" encoding="utf-8"?>
<sst xmlns="http://schemas.openxmlformats.org/spreadsheetml/2006/main" count="368" uniqueCount="229">
  <si>
    <t>Total</t>
  </si>
  <si>
    <t>Elementos de Costo</t>
  </si>
  <si>
    <t>Gastos de Admon.</t>
  </si>
  <si>
    <t>Inventario</t>
  </si>
  <si>
    <t>Concepto</t>
  </si>
  <si>
    <t>Hoja Costo de Producción</t>
  </si>
  <si>
    <t>Primer Semestre</t>
  </si>
  <si>
    <t>(Cifras en Quetzalez)</t>
  </si>
  <si>
    <t>Numero de Animales</t>
  </si>
  <si>
    <t>Inventario Inicial</t>
  </si>
  <si>
    <t>1. Insumos</t>
  </si>
  <si>
    <t>Melaza, Vacuna, Sal y Concentrado</t>
  </si>
  <si>
    <t>Descripcion</t>
  </si>
  <si>
    <t>No.   Animales</t>
  </si>
  <si>
    <t>Totales</t>
  </si>
  <si>
    <t>Malaza, Vacunas, Sal y Concentrado</t>
  </si>
  <si>
    <t>Distribucion</t>
  </si>
  <si>
    <t>Banco</t>
  </si>
  <si>
    <t>Sueldo Administrador</t>
  </si>
  <si>
    <t>Bonificación</t>
  </si>
  <si>
    <t>Gastos Admon.</t>
  </si>
  <si>
    <t>Sueldos Vaqueros y El Corporal</t>
  </si>
  <si>
    <t>Honorarios Veterinario</t>
  </si>
  <si>
    <t>Seguro</t>
  </si>
  <si>
    <t>Depreciaciones</t>
  </si>
  <si>
    <t>Base</t>
  </si>
  <si>
    <t>%</t>
  </si>
  <si>
    <t>Depreciacion Gasto</t>
  </si>
  <si>
    <t>Depre. Acum</t>
  </si>
  <si>
    <t xml:space="preserve">Toro Semental </t>
  </si>
  <si>
    <t>Trituradora de Pasto</t>
  </si>
  <si>
    <t>Equipo Pozo de Agua</t>
  </si>
  <si>
    <t>Total de Costo Primer Semestre</t>
  </si>
  <si>
    <t>Costo Unitario por Animal</t>
  </si>
  <si>
    <t>I.I. 2do. Semestre Numero Animales</t>
  </si>
  <si>
    <t xml:space="preserve">Inventario Inicial. 2do. Semestre </t>
  </si>
  <si>
    <t>Segundo Semestre</t>
  </si>
  <si>
    <t>Anexos Primer Semestre</t>
  </si>
  <si>
    <t>Costo de Venta</t>
  </si>
  <si>
    <t>Jornalizacion</t>
  </si>
  <si>
    <t>Pda. 01</t>
  </si>
  <si>
    <t>Seguros Pecuarios Anticipados</t>
  </si>
  <si>
    <t>Terrenos</t>
  </si>
  <si>
    <t xml:space="preserve">     A: Depreciaciones Acumuladas</t>
  </si>
  <si>
    <t xml:space="preserve">         Capital</t>
  </si>
  <si>
    <t>Registro de la apertura del ejercicio</t>
  </si>
  <si>
    <t>Pda. 02</t>
  </si>
  <si>
    <t>Pda. 03</t>
  </si>
  <si>
    <t>Pda. 04</t>
  </si>
  <si>
    <t>Costo de Produccion Lacteos</t>
  </si>
  <si>
    <t>Gastos de Administracion</t>
  </si>
  <si>
    <t>Depreciaciones Acumuladas</t>
  </si>
  <si>
    <t>Registro de la venta del toro sementral</t>
  </si>
  <si>
    <t xml:space="preserve">     A: Toro Semental Reproductor</t>
  </si>
  <si>
    <t xml:space="preserve">         Venta Productos Lacteos</t>
  </si>
  <si>
    <t>Costo de Ventas Productos Lacteos</t>
  </si>
  <si>
    <t>Estado de Resultados</t>
  </si>
  <si>
    <t>Ventas</t>
  </si>
  <si>
    <t>Ventas Productos Lacteos</t>
  </si>
  <si>
    <t>(-)</t>
  </si>
  <si>
    <t>Costo de Venta Productos Lacteos</t>
  </si>
  <si>
    <t>(+/-)</t>
  </si>
  <si>
    <t>Alzas y Bajas de Ganado</t>
  </si>
  <si>
    <t>Alzas y Bajas de Ganado (Muertes)</t>
  </si>
  <si>
    <t>Ganancia Bruta en Ventas</t>
  </si>
  <si>
    <t>Gastos de Operación</t>
  </si>
  <si>
    <t>Gastos Administrativos</t>
  </si>
  <si>
    <t>Utilidad antes de ISR</t>
  </si>
  <si>
    <t>Reserva Legal</t>
  </si>
  <si>
    <t>ISR</t>
  </si>
  <si>
    <t>Utilidad netas del Ejercicio</t>
  </si>
  <si>
    <t>La Finca Dolly S.A.</t>
  </si>
  <si>
    <t>Ganado Lechero</t>
  </si>
  <si>
    <t>(50,0000.00-(50,000.00*15%))/2</t>
  </si>
  <si>
    <t>Una Casa Patronal</t>
  </si>
  <si>
    <t>Equipo de Oficina</t>
  </si>
  <si>
    <t>Equipo de Computación</t>
  </si>
  <si>
    <t>Equipo para Ordeño</t>
  </si>
  <si>
    <t>Depreciacion Acumulada</t>
  </si>
  <si>
    <t>Nacimientos de Animales</t>
  </si>
  <si>
    <t>Vaqueros Sueldos</t>
  </si>
  <si>
    <t>Vaqueros Bonificacion</t>
  </si>
  <si>
    <t>Hato Lechero</t>
  </si>
  <si>
    <t>Hato Ovejero</t>
  </si>
  <si>
    <t>Volor de Nuevos Hatos</t>
  </si>
  <si>
    <t>Vacunas y Desparacitantes</t>
  </si>
  <si>
    <t>Vacunas y Desparcitantes</t>
  </si>
  <si>
    <t>Pasto y Concentrado</t>
  </si>
  <si>
    <t>Pastillas de Cuaje</t>
  </si>
  <si>
    <t>Empaques de Lacteos</t>
  </si>
  <si>
    <t>Productos Lacteos</t>
  </si>
  <si>
    <t>Productos Leacteos</t>
  </si>
  <si>
    <t>Cepillos de Raiz</t>
  </si>
  <si>
    <t>Hato Ovejas</t>
  </si>
  <si>
    <t>Bajas de Animales por Hato</t>
  </si>
  <si>
    <t>Valor de la Bajas de Animales</t>
  </si>
  <si>
    <t>Autoconsumo de Leche</t>
  </si>
  <si>
    <t>Traslado de Leche</t>
  </si>
  <si>
    <t>Sueldo Operarios</t>
  </si>
  <si>
    <t>Ganado Lechero Reproductor</t>
  </si>
  <si>
    <t>Ganado Ovejero</t>
  </si>
  <si>
    <t>Dos Toros Sementales</t>
  </si>
  <si>
    <t>Equipo de Computacion</t>
  </si>
  <si>
    <t>Banco de la Aftosa S.A.</t>
  </si>
  <si>
    <t>Equipo para Ordeño y Produccion de Lacteos</t>
  </si>
  <si>
    <t xml:space="preserve">         Prestamo Bancario</t>
  </si>
  <si>
    <t xml:space="preserve">        Acreedores</t>
  </si>
  <si>
    <t>Costo de Produccion Pecuaria Ganado Lechero</t>
  </si>
  <si>
    <t>Costo de Produccion Pecuaria Ganado Ovejero</t>
  </si>
  <si>
    <t xml:space="preserve">     A: Banco de la Aftosa S.A.</t>
  </si>
  <si>
    <t>Costo de Produccion Pecuaria Hato Lechero</t>
  </si>
  <si>
    <t>Costo de Produccion Pecuaria Hato Ovejero</t>
  </si>
  <si>
    <t>Registro de nacimientos nuevos hatos primer semestre</t>
  </si>
  <si>
    <t>Perdida en Venta de Activos</t>
  </si>
  <si>
    <t xml:space="preserve">     A: Costo de Produccion Pecuaria Ganado Lechero</t>
  </si>
  <si>
    <t xml:space="preserve">     A: Venta de Produccion Pecuaria Hato Lechero</t>
  </si>
  <si>
    <t xml:space="preserve">         Venta de Produccion Pecuaria Hato Ovejero</t>
  </si>
  <si>
    <t>Registro de las ventas del periodo 2010</t>
  </si>
  <si>
    <t>Costo de Ventas Hato Lechero</t>
  </si>
  <si>
    <t>Costo de Ventas Hato Ovejero</t>
  </si>
  <si>
    <t xml:space="preserve">         Costo de Produccion Pecuaria Ganado Ovejero</t>
  </si>
  <si>
    <t xml:space="preserve">         Costo de Produccion Pecuaria Hato Lechero</t>
  </si>
  <si>
    <t xml:space="preserve">         Costo de Produccion Pecuaria Hato Ovejero</t>
  </si>
  <si>
    <t>Registro del costo de produccion e inventarios finales</t>
  </si>
  <si>
    <t xml:space="preserve">         Costo de Produccion Productos Lacteos</t>
  </si>
  <si>
    <t>Del 01 de enero al 31 de diciembre 2010                        (Cifras Expresadas en Quetzales)</t>
  </si>
  <si>
    <t>Venta Hato Lechero</t>
  </si>
  <si>
    <t>Venta Hato Ovejero</t>
  </si>
  <si>
    <t>Costo de Venta Hato Lechero</t>
  </si>
  <si>
    <t>Costo de Venta Hato Ovejero</t>
  </si>
  <si>
    <t>Otros Egresos</t>
  </si>
  <si>
    <t>Alzas y Bajas de Ganado (Nacimientos)</t>
  </si>
  <si>
    <t xml:space="preserve">     A: Alzas y Bajas Ganado (Nacimientos)</t>
  </si>
  <si>
    <t>Alzas y Bajas Ganado (Muertes)</t>
  </si>
  <si>
    <t xml:space="preserve">     A: Costo de Produccion Pecuaria Hato Lechero</t>
  </si>
  <si>
    <t xml:space="preserve">          IVA por Pagar</t>
  </si>
  <si>
    <t>Registro de muertes de hatos segundo semestre</t>
  </si>
  <si>
    <t>Cuota Patronal 10%</t>
  </si>
  <si>
    <t>Prestaciones Laborales 30%</t>
  </si>
  <si>
    <t>3. Gastos Indirectos</t>
  </si>
  <si>
    <t>Intereses</t>
  </si>
  <si>
    <t>Calculo de los Intereses</t>
  </si>
  <si>
    <t>Total del Prestamo</t>
  </si>
  <si>
    <t>15% anual</t>
  </si>
  <si>
    <t>total Semestre</t>
  </si>
  <si>
    <t>DISTRIBUCIÓN GANADO MADRE</t>
  </si>
  <si>
    <t>Uso</t>
  </si>
  <si>
    <t>Anexos Segundo Semestre</t>
  </si>
  <si>
    <t>sueldos operarios</t>
  </si>
  <si>
    <t>Cepillos de Raíz</t>
  </si>
  <si>
    <t>(25,0000.00-(25,000.00*15%))</t>
  </si>
  <si>
    <t>(1000000-(1000000*15/100)</t>
  </si>
  <si>
    <t>(625000-(625000*15/100)</t>
  </si>
  <si>
    <t>DISTRIBUCIÓN DEL GASTO DE DEPREC. DE EQUIPO DE ORDEÑO</t>
  </si>
  <si>
    <t>EN FUNCIÓN AL USO DE LA LECHE</t>
  </si>
  <si>
    <t>USO</t>
  </si>
  <si>
    <t>LITROS</t>
  </si>
  <si>
    <t>NUEVOS HATO LECHERO</t>
  </si>
  <si>
    <t>NUEVOS HATO OVEJERO</t>
  </si>
  <si>
    <t>CONSUMO DE PERSONAL</t>
  </si>
  <si>
    <t>PRODUCCIÓN QUESO Y CREMA</t>
  </si>
  <si>
    <t xml:space="preserve">TOTAL </t>
  </si>
  <si>
    <t>TOTAL DEPREC.</t>
  </si>
  <si>
    <t xml:space="preserve">DISTRIBUCIÓN DE LA LECHE </t>
  </si>
  <si>
    <t>VALOR</t>
  </si>
  <si>
    <t>TOTAL</t>
  </si>
  <si>
    <t>Numero de Animales al inicio</t>
  </si>
  <si>
    <t>produccion de queso y crema</t>
  </si>
  <si>
    <t>queso unidad</t>
  </si>
  <si>
    <t>crema litros</t>
  </si>
  <si>
    <t>producción</t>
  </si>
  <si>
    <t>valor u.</t>
  </si>
  <si>
    <t>total</t>
  </si>
  <si>
    <t>PARTIDAS DE CIERRE</t>
  </si>
  <si>
    <t>Perdidas y ganancias</t>
  </si>
  <si>
    <t>Registro partidas de cierre de ventas y costo.</t>
  </si>
  <si>
    <t>Gastos de Admón.</t>
  </si>
  <si>
    <t>Registro partidas de cierre de Gastos de Operación</t>
  </si>
  <si>
    <t>Ganancia del Ejercicio</t>
  </si>
  <si>
    <t>Registro del resultado del ejercicio.</t>
  </si>
  <si>
    <t>Venta de Produccion Pecuaria Hato Lechero</t>
  </si>
  <si>
    <t>Venta de Produccion Pecuaria Hato Ovejero</t>
  </si>
  <si>
    <t>Venta Productos Lacteos</t>
  </si>
  <si>
    <t>A: Costo de Ventas Hato Lechero</t>
  </si>
  <si>
    <t xml:space="preserve">    Costo de Ventas Hato Ovejero</t>
  </si>
  <si>
    <t xml:space="preserve">    Costo de Ventas Productos Lacteos</t>
  </si>
  <si>
    <t>LECHERO</t>
  </si>
  <si>
    <t>OVEJERO</t>
  </si>
  <si>
    <t>VENTA PROD. LACTEOS</t>
  </si>
  <si>
    <t>venta GANADO</t>
  </si>
  <si>
    <t>inventario GANADO</t>
  </si>
  <si>
    <t>( 165,000.00 * 90% )</t>
  </si>
  <si>
    <t>Seguros anticipados</t>
  </si>
  <si>
    <t>Seguro  Anticipados</t>
  </si>
  <si>
    <t>Registro de la compra de Melaza, vacunas, sal y concentrado</t>
  </si>
  <si>
    <t>Segundo semestre</t>
  </si>
  <si>
    <t>Determinación valor en libros semental</t>
  </si>
  <si>
    <t>valor compra</t>
  </si>
  <si>
    <t>Depreciación del semestre</t>
  </si>
  <si>
    <t>Valor en libros al 30 de junio</t>
  </si>
  <si>
    <t>Valor recibido ( 100 - 25% = 75% )</t>
  </si>
  <si>
    <t>Caja y Bancos</t>
  </si>
  <si>
    <t>2. Mano de Obra Directa</t>
  </si>
  <si>
    <t>Costo</t>
  </si>
  <si>
    <t>Nuevos hatos</t>
  </si>
  <si>
    <t>Lechero</t>
  </si>
  <si>
    <t>Ovejero</t>
  </si>
  <si>
    <t>Costo Unit.</t>
  </si>
  <si>
    <t>Acumulado</t>
  </si>
  <si>
    <t>Productos Lácteos</t>
  </si>
  <si>
    <t>Gastos de Administración</t>
  </si>
  <si>
    <t>Total de Costos Acumulado</t>
  </si>
  <si>
    <t>Seguros Anticipados</t>
  </si>
  <si>
    <t>Inventarios</t>
  </si>
  <si>
    <t>Depreciaciones Acumuladas ( del semestre )</t>
  </si>
  <si>
    <t>Venta al doble de su valor</t>
  </si>
  <si>
    <t>25% de valor en libros</t>
  </si>
  <si>
    <t>Pda. 11</t>
  </si>
  <si>
    <t xml:space="preserve">     A: Seguros Pecuarios Anticipados </t>
  </si>
  <si>
    <t>Total Costo Segundo Semestre</t>
  </si>
  <si>
    <t>Hoja Costo de Producción/ Segundo Semestre</t>
  </si>
  <si>
    <t>Registro costo de producción</t>
  </si>
  <si>
    <t>Costo segundo semestre</t>
  </si>
  <si>
    <t>Pda. 05</t>
  </si>
  <si>
    <t>Pda. 06</t>
  </si>
  <si>
    <t>Pda. 07</t>
  </si>
  <si>
    <t>Pda. 08</t>
  </si>
  <si>
    <t>Pda. 09</t>
  </si>
  <si>
    <t>Pda.10</t>
  </si>
</sst>
</file>

<file path=xl/styles.xml><?xml version="1.0" encoding="utf-8"?>
<styleSheet xmlns="http://schemas.openxmlformats.org/spreadsheetml/2006/main">
  <numFmts count="5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.00000"/>
  </numFmts>
  <fonts count="19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5" fillId="0" borderId="4" xfId="0" applyFont="1" applyBorder="1"/>
    <xf numFmtId="3" fontId="5" fillId="0" borderId="4" xfId="0" applyNumberFormat="1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4" fontId="5" fillId="0" borderId="5" xfId="0" applyNumberFormat="1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2" xfId="0" applyFont="1" applyBorder="1"/>
    <xf numFmtId="0" fontId="5" fillId="0" borderId="6" xfId="0" applyFont="1" applyBorder="1"/>
    <xf numFmtId="4" fontId="5" fillId="0" borderId="6" xfId="0" applyNumberFormat="1" applyFont="1" applyBorder="1" applyAlignment="1">
      <alignment horizontal="center"/>
    </xf>
    <xf numFmtId="0" fontId="5" fillId="0" borderId="7" xfId="0" applyFont="1" applyBorder="1"/>
    <xf numFmtId="3" fontId="5" fillId="0" borderId="7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5" fillId="0" borderId="0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center"/>
    </xf>
    <xf numFmtId="39" fontId="5" fillId="0" borderId="4" xfId="0" applyNumberFormat="1" applyFont="1" applyBorder="1" applyAlignment="1">
      <alignment horizontal="center"/>
    </xf>
    <xf numFmtId="39" fontId="5" fillId="0" borderId="5" xfId="0" applyNumberFormat="1" applyFont="1" applyBorder="1" applyAlignment="1">
      <alignment horizontal="center"/>
    </xf>
    <xf numFmtId="39" fontId="5" fillId="0" borderId="7" xfId="0" applyNumberFormat="1" applyFont="1" applyBorder="1" applyAlignment="1">
      <alignment horizontal="center"/>
    </xf>
    <xf numFmtId="4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9" fontId="5" fillId="0" borderId="5" xfId="0" applyNumberFormat="1" applyFont="1" applyBorder="1"/>
    <xf numFmtId="39" fontId="5" fillId="0" borderId="4" xfId="0" applyNumberFormat="1" applyFont="1" applyBorder="1"/>
    <xf numFmtId="4" fontId="5" fillId="0" borderId="7" xfId="0" applyNumberFormat="1" applyFont="1" applyBorder="1"/>
    <xf numFmtId="0" fontId="5" fillId="0" borderId="7" xfId="0" applyFont="1" applyBorder="1" applyAlignment="1">
      <alignment horizontal="center"/>
    </xf>
    <xf numFmtId="39" fontId="5" fillId="0" borderId="7" xfId="0" applyNumberFormat="1" applyFont="1" applyBorder="1"/>
    <xf numFmtId="0" fontId="5" fillId="0" borderId="8" xfId="0" applyFont="1" applyBorder="1"/>
    <xf numFmtId="4" fontId="5" fillId="0" borderId="8" xfId="0" applyNumberFormat="1" applyFont="1" applyBorder="1"/>
    <xf numFmtId="0" fontId="5" fillId="0" borderId="8" xfId="0" applyFont="1" applyBorder="1" applyAlignment="1">
      <alignment horizontal="center"/>
    </xf>
    <xf numFmtId="39" fontId="5" fillId="0" borderId="8" xfId="0" applyNumberFormat="1" applyFont="1" applyBorder="1"/>
    <xf numFmtId="0" fontId="7" fillId="0" borderId="0" xfId="0" applyFont="1" applyAlignment="1">
      <alignment horizontal="center" vertical="center"/>
    </xf>
    <xf numFmtId="39" fontId="4" fillId="0" borderId="4" xfId="0" applyNumberFormat="1" applyFont="1" applyBorder="1" applyAlignment="1">
      <alignment horizontal="center"/>
    </xf>
    <xf numFmtId="39" fontId="4" fillId="0" borderId="5" xfId="0" applyNumberFormat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/>
    <xf numFmtId="0" fontId="8" fillId="0" borderId="0" xfId="0" applyFont="1"/>
    <xf numFmtId="0" fontId="8" fillId="0" borderId="2" xfId="0" applyFont="1" applyBorder="1"/>
    <xf numFmtId="0" fontId="8" fillId="0" borderId="3" xfId="0" applyFont="1" applyBorder="1"/>
    <xf numFmtId="0" fontId="8" fillId="0" borderId="9" xfId="0" applyFont="1" applyBorder="1"/>
    <xf numFmtId="4" fontId="2" fillId="0" borderId="0" xfId="0" applyNumberFormat="1" applyFont="1" applyAlignment="1">
      <alignment horizontal="center"/>
    </xf>
    <xf numFmtId="4" fontId="8" fillId="0" borderId="2" xfId="0" applyNumberFormat="1" applyFont="1" applyBorder="1"/>
    <xf numFmtId="4" fontId="8" fillId="0" borderId="3" xfId="0" applyNumberFormat="1" applyFont="1" applyBorder="1"/>
    <xf numFmtId="4" fontId="8" fillId="0" borderId="9" xfId="0" applyNumberFormat="1" applyFont="1" applyBorder="1"/>
    <xf numFmtId="4" fontId="8" fillId="0" borderId="0" xfId="0" applyNumberFormat="1" applyFont="1"/>
    <xf numFmtId="4" fontId="5" fillId="0" borderId="6" xfId="0" applyNumberFormat="1" applyFont="1" applyBorder="1"/>
    <xf numFmtId="0" fontId="5" fillId="0" borderId="5" xfId="0" applyFont="1" applyFill="1" applyBorder="1"/>
    <xf numFmtId="4" fontId="5" fillId="0" borderId="10" xfId="0" applyNumberFormat="1" applyFont="1" applyBorder="1"/>
    <xf numFmtId="0" fontId="5" fillId="0" borderId="10" xfId="0" applyFont="1" applyBorder="1"/>
    <xf numFmtId="0" fontId="10" fillId="0" borderId="5" xfId="0" applyFont="1" applyBorder="1"/>
    <xf numFmtId="44" fontId="5" fillId="0" borderId="0" xfId="0" applyNumberFormat="1" applyFont="1"/>
    <xf numFmtId="4" fontId="5" fillId="0" borderId="5" xfId="2" applyNumberFormat="1" applyBorder="1"/>
    <xf numFmtId="4" fontId="5" fillId="0" borderId="0" xfId="2" applyNumberFormat="1"/>
    <xf numFmtId="39" fontId="5" fillId="0" borderId="0" xfId="0" applyNumberFormat="1" applyFont="1"/>
    <xf numFmtId="39" fontId="5" fillId="0" borderId="11" xfId="0" applyNumberFormat="1" applyFont="1" applyBorder="1"/>
    <xf numFmtId="39" fontId="2" fillId="0" borderId="0" xfId="0" applyNumberFormat="1" applyFont="1"/>
    <xf numFmtId="39" fontId="2" fillId="0" borderId="0" xfId="0" applyNumberFormat="1" applyFont="1" applyAlignment="1">
      <alignment horizontal="center"/>
    </xf>
    <xf numFmtId="39" fontId="5" fillId="0" borderId="2" xfId="0" applyNumberFormat="1" applyFont="1" applyBorder="1"/>
    <xf numFmtId="39" fontId="5" fillId="0" borderId="2" xfId="0" applyNumberFormat="1" applyFont="1" applyBorder="1" applyAlignment="1">
      <alignment horizontal="center"/>
    </xf>
    <xf numFmtId="39" fontId="5" fillId="0" borderId="3" xfId="0" applyNumberFormat="1" applyFont="1" applyBorder="1"/>
    <xf numFmtId="39" fontId="5" fillId="0" borderId="3" xfId="0" applyNumberFormat="1" applyFont="1" applyBorder="1" applyAlignment="1">
      <alignment horizontal="center"/>
    </xf>
    <xf numFmtId="39" fontId="5" fillId="0" borderId="0" xfId="0" applyNumberFormat="1" applyFont="1" applyAlignment="1">
      <alignment horizontal="center"/>
    </xf>
    <xf numFmtId="39" fontId="4" fillId="0" borderId="1" xfId="0" applyNumberFormat="1" applyFont="1" applyBorder="1" applyAlignment="1">
      <alignment horizontal="center" vertical="center"/>
    </xf>
    <xf numFmtId="39" fontId="4" fillId="0" borderId="1" xfId="0" applyNumberFormat="1" applyFont="1" applyBorder="1" applyAlignment="1">
      <alignment horizontal="center" vertical="center" wrapText="1"/>
    </xf>
    <xf numFmtId="39" fontId="5" fillId="0" borderId="0" xfId="0" applyNumberFormat="1" applyFont="1" applyAlignment="1">
      <alignment horizontal="center" vertical="center"/>
    </xf>
    <xf numFmtId="39" fontId="4" fillId="0" borderId="5" xfId="0" applyNumberFormat="1" applyFont="1" applyBorder="1"/>
    <xf numFmtId="0" fontId="4" fillId="0" borderId="10" xfId="0" applyFont="1" applyBorder="1"/>
    <xf numFmtId="0" fontId="5" fillId="0" borderId="10" xfId="0" applyFont="1" applyBorder="1" applyAlignment="1">
      <alignment horizontal="center"/>
    </xf>
    <xf numFmtId="39" fontId="5" fillId="0" borderId="10" xfId="0" applyNumberFormat="1" applyFont="1" applyBorder="1"/>
    <xf numFmtId="37" fontId="5" fillId="0" borderId="5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9" fontId="5" fillId="0" borderId="10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39" fontId="5" fillId="0" borderId="5" xfId="0" applyNumberFormat="1" applyFont="1" applyFill="1" applyBorder="1"/>
    <xf numFmtId="39" fontId="5" fillId="0" borderId="14" xfId="0" applyNumberFormat="1" applyFont="1" applyBorder="1"/>
    <xf numFmtId="39" fontId="5" fillId="0" borderId="15" xfId="0" applyNumberFormat="1" applyFont="1" applyBorder="1"/>
    <xf numFmtId="44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39" fontId="5" fillId="3" borderId="5" xfId="0" applyNumberFormat="1" applyFont="1" applyFill="1" applyBorder="1"/>
    <xf numFmtId="39" fontId="5" fillId="3" borderId="5" xfId="0" applyNumberFormat="1" applyFont="1" applyFill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9" fontId="5" fillId="0" borderId="7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44" fontId="5" fillId="0" borderId="0" xfId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39" fontId="5" fillId="0" borderId="0" xfId="0" applyNumberFormat="1" applyFont="1" applyBorder="1" applyAlignment="1">
      <alignment horizontal="center"/>
    </xf>
    <xf numFmtId="4" fontId="5" fillId="0" borderId="12" xfId="0" applyNumberFormat="1" applyFont="1" applyBorder="1" applyAlignment="1"/>
    <xf numFmtId="4" fontId="5" fillId="0" borderId="4" xfId="0" applyNumberFormat="1" applyFont="1" applyBorder="1" applyAlignment="1"/>
    <xf numFmtId="43" fontId="5" fillId="0" borderId="4" xfId="0" applyNumberFormat="1" applyFont="1" applyBorder="1" applyAlignment="1"/>
    <xf numFmtId="4" fontId="5" fillId="0" borderId="13" xfId="0" applyNumberFormat="1" applyFont="1" applyBorder="1" applyAlignment="1"/>
    <xf numFmtId="0" fontId="4" fillId="0" borderId="10" xfId="0" applyFont="1" applyFill="1" applyBorder="1"/>
    <xf numFmtId="4" fontId="5" fillId="0" borderId="10" xfId="0" applyNumberFormat="1" applyFont="1" applyFill="1" applyBorder="1"/>
    <xf numFmtId="0" fontId="5" fillId="0" borderId="10" xfId="0" applyFont="1" applyFill="1" applyBorder="1" applyAlignment="1">
      <alignment horizontal="center"/>
    </xf>
    <xf numFmtId="39" fontId="5" fillId="0" borderId="10" xfId="0" applyNumberFormat="1" applyFont="1" applyFill="1" applyBorder="1"/>
    <xf numFmtId="4" fontId="5" fillId="0" borderId="5" xfId="0" applyNumberFormat="1" applyFont="1" applyFill="1" applyBorder="1"/>
    <xf numFmtId="4" fontId="5" fillId="0" borderId="7" xfId="0" applyNumberFormat="1" applyFont="1" applyFill="1" applyBorder="1"/>
    <xf numFmtId="0" fontId="5" fillId="0" borderId="7" xfId="0" applyFont="1" applyFill="1" applyBorder="1" applyAlignment="1">
      <alignment horizontal="center"/>
    </xf>
    <xf numFmtId="39" fontId="5" fillId="0" borderId="7" xfId="0" applyNumberFormat="1" applyFont="1" applyFill="1" applyBorder="1"/>
    <xf numFmtId="0" fontId="2" fillId="0" borderId="0" xfId="0" applyNumberFormat="1" applyFont="1"/>
    <xf numFmtId="44" fontId="2" fillId="0" borderId="0" xfId="1" applyFont="1"/>
    <xf numFmtId="0" fontId="5" fillId="0" borderId="0" xfId="0" applyNumberFormat="1" applyFont="1"/>
    <xf numFmtId="44" fontId="5" fillId="0" borderId="0" xfId="1" applyFont="1"/>
    <xf numFmtId="0" fontId="5" fillId="0" borderId="0" xfId="0" applyFont="1" applyAlignment="1">
      <alignment horizontal="left"/>
    </xf>
    <xf numFmtId="0" fontId="11" fillId="0" borderId="5" xfId="0" applyNumberFormat="1" applyFont="1" applyFill="1" applyBorder="1" applyAlignment="1"/>
    <xf numFmtId="165" fontId="11" fillId="0" borderId="5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/>
    <xf numFmtId="4" fontId="12" fillId="0" borderId="5" xfId="0" applyNumberFormat="1" applyFont="1" applyFill="1" applyBorder="1" applyAlignment="1"/>
    <xf numFmtId="39" fontId="5" fillId="0" borderId="15" xfId="0" applyNumberFormat="1" applyFont="1" applyBorder="1" applyAlignment="1">
      <alignment horizontal="center"/>
    </xf>
    <xf numFmtId="166" fontId="5" fillId="0" borderId="0" xfId="0" applyNumberFormat="1" applyFont="1"/>
    <xf numFmtId="39" fontId="5" fillId="0" borderId="11" xfId="0" applyNumberFormat="1" applyFont="1" applyBorder="1" applyAlignment="1">
      <alignment horizontal="center"/>
    </xf>
    <xf numFmtId="39" fontId="5" fillId="0" borderId="14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24" xfId="0" applyFont="1" applyBorder="1"/>
    <xf numFmtId="0" fontId="5" fillId="0" borderId="25" xfId="0" applyFont="1" applyBorder="1"/>
    <xf numFmtId="0" fontId="5" fillId="0" borderId="29" xfId="0" applyFont="1" applyBorder="1"/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30" xfId="0" applyFont="1" applyBorder="1"/>
    <xf numFmtId="0" fontId="4" fillId="2" borderId="26" xfId="0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center"/>
    </xf>
    <xf numFmtId="44" fontId="4" fillId="2" borderId="27" xfId="1" applyFont="1" applyFill="1" applyBorder="1"/>
    <xf numFmtId="4" fontId="4" fillId="2" borderId="28" xfId="0" applyNumberFormat="1" applyFont="1" applyFill="1" applyBorder="1"/>
    <xf numFmtId="3" fontId="4" fillId="2" borderId="27" xfId="0" applyNumberFormat="1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 wrapText="1"/>
    </xf>
    <xf numFmtId="40" fontId="5" fillId="0" borderId="0" xfId="0" applyNumberFormat="1" applyFont="1"/>
    <xf numFmtId="40" fontId="1" fillId="0" borderId="0" xfId="0" applyNumberFormat="1" applyFont="1"/>
    <xf numFmtId="40" fontId="4" fillId="0" borderId="0" xfId="0" applyNumberFormat="1" applyFont="1"/>
    <xf numFmtId="40" fontId="2" fillId="0" borderId="0" xfId="0" applyNumberFormat="1" applyFont="1"/>
    <xf numFmtId="40" fontId="5" fillId="0" borderId="1" xfId="0" applyNumberFormat="1" applyFont="1" applyBorder="1"/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39" fontId="4" fillId="0" borderId="5" xfId="0" applyNumberFormat="1" applyFont="1" applyBorder="1" applyAlignment="1">
      <alignment horizontal="right"/>
    </xf>
    <xf numFmtId="37" fontId="4" fillId="0" borderId="5" xfId="0" applyNumberFormat="1" applyFont="1" applyBorder="1" applyAlignment="1">
      <alignment horizontal="center"/>
    </xf>
    <xf numFmtId="39" fontId="5" fillId="0" borderId="5" xfId="0" applyNumberFormat="1" applyFont="1" applyBorder="1" applyAlignment="1">
      <alignment horizontal="right"/>
    </xf>
    <xf numFmtId="39" fontId="5" fillId="0" borderId="5" xfId="0" applyNumberFormat="1" applyFont="1" applyFill="1" applyBorder="1" applyAlignment="1">
      <alignment horizontal="right"/>
    </xf>
    <xf numFmtId="39" fontId="5" fillId="0" borderId="5" xfId="0" applyNumberFormat="1" applyFont="1" applyFill="1" applyBorder="1" applyAlignment="1">
      <alignment horizontal="center"/>
    </xf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5" fillId="0" borderId="0" xfId="0" applyNumberFormat="1" applyFont="1" applyFill="1" applyBorder="1"/>
    <xf numFmtId="39" fontId="5" fillId="0" borderId="0" xfId="0" applyNumberFormat="1" applyFont="1" applyFill="1" applyBorder="1" applyAlignment="1">
      <alignment horizontal="center"/>
    </xf>
    <xf numFmtId="39" fontId="1" fillId="0" borderId="0" xfId="0" applyNumberFormat="1" applyFont="1" applyFill="1"/>
    <xf numFmtId="39" fontId="2" fillId="0" borderId="0" xfId="0" applyNumberFormat="1" applyFont="1" applyFill="1" applyAlignment="1">
      <alignment horizontal="center"/>
    </xf>
    <xf numFmtId="39" fontId="1" fillId="0" borderId="0" xfId="0" applyNumberFormat="1" applyFont="1" applyAlignment="1">
      <alignment horizontal="right"/>
    </xf>
    <xf numFmtId="39" fontId="4" fillId="0" borderId="0" xfId="0" applyNumberFormat="1" applyFont="1" applyFill="1" applyAlignment="1">
      <alignment horizontal="center"/>
    </xf>
    <xf numFmtId="39" fontId="17" fillId="0" borderId="0" xfId="0" applyNumberFormat="1" applyFont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39" fontId="4" fillId="0" borderId="0" xfId="0" applyNumberFormat="1" applyFont="1" applyAlignment="1">
      <alignment horizontal="center"/>
    </xf>
    <xf numFmtId="39" fontId="18" fillId="0" borderId="0" xfId="0" applyNumberFormat="1" applyFont="1" applyAlignment="1">
      <alignment horizontal="center"/>
    </xf>
    <xf numFmtId="40" fontId="4" fillId="6" borderId="31" xfId="0" applyNumberFormat="1" applyFont="1" applyFill="1" applyBorder="1"/>
    <xf numFmtId="40" fontId="4" fillId="6" borderId="0" xfId="0" applyNumberFormat="1" applyFont="1" applyFill="1"/>
    <xf numFmtId="40" fontId="5" fillId="6" borderId="0" xfId="0" applyNumberFormat="1" applyFont="1" applyFill="1"/>
    <xf numFmtId="40" fontId="14" fillId="6" borderId="0" xfId="0" applyNumberFormat="1" applyFont="1" applyFill="1"/>
    <xf numFmtId="40" fontId="15" fillId="6" borderId="0" xfId="0" applyNumberFormat="1" applyFont="1" applyFill="1"/>
    <xf numFmtId="0" fontId="4" fillId="7" borderId="1" xfId="0" applyFont="1" applyFill="1" applyBorder="1" applyAlignment="1">
      <alignment horizontal="center" vertical="center" wrapText="1"/>
    </xf>
    <xf numFmtId="4" fontId="5" fillId="7" borderId="4" xfId="0" applyNumberFormat="1" applyFont="1" applyFill="1" applyBorder="1"/>
    <xf numFmtId="4" fontId="5" fillId="7" borderId="5" xfId="0" applyNumberFormat="1" applyFont="1" applyFill="1" applyBorder="1"/>
    <xf numFmtId="4" fontId="5" fillId="7" borderId="10" xfId="0" applyNumberFormat="1" applyFont="1" applyFill="1" applyBorder="1"/>
    <xf numFmtId="4" fontId="5" fillId="7" borderId="7" xfId="0" applyNumberFormat="1" applyFont="1" applyFill="1" applyBorder="1"/>
    <xf numFmtId="4" fontId="5" fillId="7" borderId="8" xfId="0" applyNumberFormat="1" applyFont="1" applyFill="1" applyBorder="1"/>
    <xf numFmtId="39" fontId="4" fillId="0" borderId="2" xfId="0" applyNumberFormat="1" applyFont="1" applyBorder="1"/>
    <xf numFmtId="0" fontId="1" fillId="0" borderId="5" xfId="0" applyFont="1" applyBorder="1" applyAlignment="1">
      <alignment horizontal="right"/>
    </xf>
    <xf numFmtId="164" fontId="1" fillId="0" borderId="0" xfId="3" applyNumberFormat="1" applyFont="1" applyAlignment="1">
      <alignment horizontal="center"/>
    </xf>
    <xf numFmtId="37" fontId="4" fillId="0" borderId="4" xfId="0" applyNumberFormat="1" applyFont="1" applyBorder="1" applyAlignment="1">
      <alignment horizontal="center"/>
    </xf>
    <xf numFmtId="39" fontId="5" fillId="0" borderId="4" xfId="0" applyNumberFormat="1" applyFont="1" applyBorder="1" applyAlignment="1">
      <alignment horizontal="right"/>
    </xf>
    <xf numFmtId="39" fontId="18" fillId="0" borderId="5" xfId="0" applyNumberFormat="1" applyFont="1" applyBorder="1" applyAlignment="1">
      <alignment horizontal="center"/>
    </xf>
    <xf numFmtId="0" fontId="1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4" fontId="2" fillId="0" borderId="3" xfId="0" applyNumberFormat="1" applyFont="1" applyBorder="1"/>
    <xf numFmtId="0" fontId="2" fillId="0" borderId="9" xfId="0" applyFont="1" applyBorder="1"/>
    <xf numFmtId="4" fontId="2" fillId="0" borderId="9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1" fillId="0" borderId="0" xfId="0" applyFont="1"/>
    <xf numFmtId="4" fontId="1" fillId="0" borderId="5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15" xfId="0" applyNumberFormat="1" applyFont="1" applyBorder="1"/>
    <xf numFmtId="4" fontId="1" fillId="0" borderId="0" xfId="0" applyNumberFormat="1" applyFont="1"/>
    <xf numFmtId="4" fontId="1" fillId="0" borderId="6" xfId="0" applyNumberFormat="1" applyFont="1" applyBorder="1"/>
    <xf numFmtId="0" fontId="1" fillId="0" borderId="5" xfId="0" applyFont="1" applyFill="1" applyBorder="1"/>
    <xf numFmtId="4" fontId="1" fillId="0" borderId="10" xfId="0" applyNumberFormat="1" applyFont="1" applyBorder="1"/>
    <xf numFmtId="4" fontId="2" fillId="0" borderId="0" xfId="0" applyNumberFormat="1" applyFont="1"/>
    <xf numFmtId="0" fontId="2" fillId="0" borderId="5" xfId="0" applyFont="1" applyBorder="1"/>
    <xf numFmtId="0" fontId="1" fillId="0" borderId="5" xfId="0" applyFont="1" applyBorder="1" applyAlignment="1">
      <alignment vertical="center"/>
    </xf>
    <xf numFmtId="39" fontId="1" fillId="0" borderId="2" xfId="0" applyNumberFormat="1" applyFont="1" applyBorder="1"/>
    <xf numFmtId="0" fontId="4" fillId="0" borderId="5" xfId="0" applyFont="1" applyBorder="1" applyAlignment="1">
      <alignment horizontal="right"/>
    </xf>
    <xf numFmtId="4" fontId="1" fillId="0" borderId="5" xfId="0" applyNumberFormat="1" applyFont="1" applyFill="1" applyBorder="1"/>
    <xf numFmtId="39" fontId="4" fillId="4" borderId="5" xfId="0" applyNumberFormat="1" applyFont="1" applyFill="1" applyBorder="1" applyAlignment="1">
      <alignment horizontal="center"/>
    </xf>
    <xf numFmtId="39" fontId="4" fillId="4" borderId="5" xfId="0" applyNumberFormat="1" applyFont="1" applyFill="1" applyBorder="1" applyAlignment="1">
      <alignment horizontal="right"/>
    </xf>
    <xf numFmtId="39" fontId="4" fillId="8" borderId="5" xfId="0" applyNumberFormat="1" applyFont="1" applyFill="1" applyBorder="1" applyAlignment="1">
      <alignment horizontal="right"/>
    </xf>
    <xf numFmtId="39" fontId="4" fillId="8" borderId="4" xfId="0" applyNumberFormat="1" applyFont="1" applyFill="1" applyBorder="1" applyAlignment="1">
      <alignment horizontal="center"/>
    </xf>
    <xf numFmtId="39" fontId="5" fillId="7" borderId="5" xfId="0" applyNumberFormat="1" applyFont="1" applyFill="1" applyBorder="1"/>
    <xf numFmtId="39" fontId="5" fillId="7" borderId="15" xfId="0" applyNumberFormat="1" applyFont="1" applyFill="1" applyBorder="1" applyAlignment="1">
      <alignment horizontal="center"/>
    </xf>
    <xf numFmtId="39" fontId="5" fillId="0" borderId="0" xfId="0" applyNumberFormat="1" applyFont="1" applyBorder="1" applyAlignment="1">
      <alignment horizontal="right"/>
    </xf>
    <xf numFmtId="39" fontId="4" fillId="0" borderId="4" xfId="0" applyNumberFormat="1" applyFont="1" applyBorder="1" applyAlignment="1">
      <alignment horizontal="center"/>
    </xf>
    <xf numFmtId="39" fontId="4" fillId="0" borderId="0" xfId="0" applyNumberFormat="1" applyFont="1"/>
    <xf numFmtId="0" fontId="1" fillId="0" borderId="0" xfId="0" applyFont="1" applyAlignment="1">
      <alignment vertical="center"/>
    </xf>
    <xf numFmtId="4" fontId="12" fillId="0" borderId="0" xfId="0" applyNumberFormat="1" applyFont="1" applyFill="1" applyAlignment="1"/>
    <xf numFmtId="0" fontId="12" fillId="0" borderId="5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9" fontId="4" fillId="0" borderId="4" xfId="0" applyNumberFormat="1" applyFont="1" applyBorder="1" applyAlignment="1">
      <alignment horizontal="center"/>
    </xf>
    <xf numFmtId="39" fontId="5" fillId="0" borderId="2" xfId="0" applyNumberFormat="1" applyFont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_Los Cultivos SA" xfId="2"/>
  </cellStyles>
  <dxfs count="0"/>
  <tableStyles count="0" defaultTableStyle="TableStyleMedium9" defaultPivotStyle="PivotStyleLight16"/>
  <colors>
    <mruColors>
      <color rgb="FF73F5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723900</xdr:colOff>
      <xdr:row>7</xdr:row>
      <xdr:rowOff>247650</xdr:rowOff>
    </xdr:from>
    <xdr:to>
      <xdr:col>12</xdr:col>
      <xdr:colOff>104775</xdr:colOff>
      <xdr:row>11</xdr:row>
      <xdr:rowOff>161925</xdr:rowOff>
    </xdr:to>
    <xdr:cxnSp macro="">
      <xdr:nvCxnSpPr>
        <xdr:cNvPr id="3" name="2 Conector recto de flecha"/>
        <xdr:cNvCxnSpPr/>
      </xdr:nvCxnSpPr>
      <xdr:spPr>
        <a:xfrm>
          <a:off x="9277350" y="2038350"/>
          <a:ext cx="2428875" cy="981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milia%20matta/Mis%20documentos/Downloads/2.-%20La%20Finca%20Dolly%20S.A.%20Laboratorio%202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CP Primer Sem."/>
      <sheetName val="Anexos Primer Sem."/>
      <sheetName val="Depre. Primer Sem."/>
      <sheetName val="Partidas Primer Sem."/>
      <sheetName val="HCP Segundo Sem."/>
      <sheetName val="Anexos Segundo Sem."/>
      <sheetName val="Depre. Segundo Sem."/>
      <sheetName val="Partidas Segundo Sem."/>
      <sheetName val="Estado R."/>
    </sheetNames>
    <sheetDataSet>
      <sheetData sheetId="0">
        <row r="30">
          <cell r="C30">
            <v>526849.10000000009</v>
          </cell>
          <cell r="D30">
            <v>386080.5</v>
          </cell>
        </row>
      </sheetData>
      <sheetData sheetId="1"/>
      <sheetData sheetId="2"/>
      <sheetData sheetId="3"/>
      <sheetData sheetId="4">
        <row r="41">
          <cell r="H41">
            <v>275823.70249508461</v>
          </cell>
        </row>
        <row r="45">
          <cell r="E45">
            <v>24672.922761385438</v>
          </cell>
          <cell r="F45">
            <v>16108.90200973741</v>
          </cell>
        </row>
        <row r="48">
          <cell r="E48">
            <v>756636.29801582021</v>
          </cell>
          <cell r="F48">
            <v>628247.17837975896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U39"/>
  <sheetViews>
    <sheetView workbookViewId="0">
      <pane ySplit="1" topLeftCell="A2" activePane="bottomLeft" state="frozen"/>
      <selection activeCell="F1" sqref="F1"/>
      <selection pane="bottomLeft" activeCell="D30" sqref="D30"/>
    </sheetView>
  </sheetViews>
  <sheetFormatPr baseColWidth="10" defaultRowHeight="21" customHeight="1"/>
  <cols>
    <col min="1" max="1" width="1" style="75" customWidth="1"/>
    <col min="2" max="2" width="32" style="75" customWidth="1"/>
    <col min="3" max="3" width="12.85546875" style="76" bestFit="1" customWidth="1"/>
    <col min="4" max="4" width="12.28515625" style="76" bestFit="1" customWidth="1"/>
    <col min="5" max="6" width="11.5703125" style="76" bestFit="1" customWidth="1"/>
    <col min="7" max="7" width="12.42578125" style="76" bestFit="1" customWidth="1"/>
    <col min="8" max="8" width="12.42578125" style="76" customWidth="1"/>
    <col min="9" max="9" width="12.42578125" style="76" bestFit="1" customWidth="1"/>
    <col min="10" max="10" width="13" style="76" bestFit="1" customWidth="1"/>
    <col min="11" max="11" width="14" style="76" customWidth="1"/>
    <col min="12" max="16384" width="11.42578125" style="75"/>
  </cols>
  <sheetData>
    <row r="1" spans="2:47" ht="6" customHeight="1"/>
    <row r="2" spans="2:47" s="73" customFormat="1" ht="16.5" customHeight="1">
      <c r="B2" s="188" t="s">
        <v>71</v>
      </c>
      <c r="C2" s="78"/>
      <c r="D2" s="78"/>
      <c r="E2" s="78"/>
      <c r="F2" s="78"/>
      <c r="G2" s="78"/>
      <c r="H2" s="78"/>
      <c r="I2" s="78"/>
      <c r="J2" s="78"/>
      <c r="K2" s="78"/>
    </row>
    <row r="3" spans="2:47" s="73" customFormat="1" ht="13.5" customHeight="1">
      <c r="B3" s="77" t="s">
        <v>5</v>
      </c>
      <c r="C3" s="78"/>
      <c r="D3" s="78"/>
      <c r="E3" s="78"/>
      <c r="F3" s="78"/>
      <c r="G3" s="78"/>
      <c r="H3" s="78"/>
      <c r="I3" s="78"/>
      <c r="J3" s="78"/>
      <c r="K3" s="78"/>
    </row>
    <row r="4" spans="2:47" s="73" customFormat="1" ht="12" customHeight="1">
      <c r="B4" s="79" t="s">
        <v>6</v>
      </c>
      <c r="C4" s="80"/>
      <c r="D4" s="80"/>
      <c r="E4" s="80"/>
      <c r="F4" s="80" t="s">
        <v>7</v>
      </c>
      <c r="G4" s="80"/>
      <c r="H4" s="80"/>
      <c r="I4" s="80"/>
      <c r="J4" s="80"/>
      <c r="K4" s="80"/>
    </row>
    <row r="5" spans="2:47" s="73" customFormat="1" ht="3.75" customHeight="1" thickBot="1">
      <c r="C5" s="81"/>
      <c r="D5" s="81"/>
      <c r="E5" s="81"/>
      <c r="F5" s="81"/>
      <c r="G5" s="81"/>
      <c r="H5" s="81"/>
      <c r="I5" s="81"/>
      <c r="J5" s="81"/>
      <c r="K5" s="81"/>
    </row>
    <row r="6" spans="2:47" s="73" customFormat="1" ht="30" customHeight="1" thickBot="1">
      <c r="B6" s="82" t="s">
        <v>4</v>
      </c>
      <c r="C6" s="83" t="s">
        <v>72</v>
      </c>
      <c r="D6" s="83" t="s">
        <v>100</v>
      </c>
      <c r="E6" s="83" t="s">
        <v>91</v>
      </c>
      <c r="F6" s="83" t="s">
        <v>20</v>
      </c>
      <c r="G6" s="83" t="s">
        <v>3</v>
      </c>
      <c r="H6" s="83" t="s">
        <v>192</v>
      </c>
      <c r="I6" s="83" t="s">
        <v>201</v>
      </c>
      <c r="J6" s="83" t="s">
        <v>78</v>
      </c>
      <c r="K6" s="83" t="s">
        <v>0</v>
      </c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</row>
    <row r="7" spans="2:47" s="73" customFormat="1" ht="18" customHeight="1">
      <c r="B7" s="38" t="s">
        <v>8</v>
      </c>
      <c r="C7" s="90">
        <v>200</v>
      </c>
      <c r="D7" s="90">
        <v>200</v>
      </c>
      <c r="E7" s="90"/>
      <c r="F7" s="90"/>
      <c r="G7" s="90"/>
      <c r="H7" s="90"/>
      <c r="I7" s="90"/>
      <c r="J7" s="90"/>
      <c r="K7" s="89">
        <f>SUM(C7:G7)</f>
        <v>400</v>
      </c>
    </row>
    <row r="8" spans="2:47" s="73" customFormat="1" ht="18" customHeight="1">
      <c r="B8" s="85" t="s">
        <v>9</v>
      </c>
      <c r="C8" s="48">
        <v>1000000</v>
      </c>
      <c r="D8" s="48">
        <v>625000</v>
      </c>
      <c r="E8" s="48"/>
      <c r="F8" s="32"/>
      <c r="G8" s="32"/>
      <c r="H8" s="32"/>
      <c r="I8" s="32"/>
      <c r="J8" s="32"/>
      <c r="K8" s="32">
        <f>SUM(C8:G8)</f>
        <v>1625000</v>
      </c>
    </row>
    <row r="9" spans="2:47" s="73" customFormat="1" ht="18" customHeight="1">
      <c r="B9" s="85" t="s">
        <v>10</v>
      </c>
      <c r="C9" s="47">
        <f>SUM(C10:C10)</f>
        <v>74250</v>
      </c>
      <c r="D9" s="47">
        <f>SUM(D10:D10)</f>
        <v>74250</v>
      </c>
      <c r="E9" s="47">
        <f>SUM(E10:E10)</f>
        <v>0</v>
      </c>
      <c r="F9" s="47">
        <f>SUM(F10:F10)</f>
        <v>0</v>
      </c>
      <c r="G9" s="47">
        <f>+G10</f>
        <v>16500</v>
      </c>
      <c r="H9" s="47"/>
      <c r="I9" s="47">
        <f>SUM(I10:I10)</f>
        <v>-165000</v>
      </c>
      <c r="J9" s="47">
        <f>SUM(J10:J10)</f>
        <v>0</v>
      </c>
      <c r="K9" s="47">
        <f>SUM(K10:K10)</f>
        <v>165000</v>
      </c>
    </row>
    <row r="10" spans="2:47" s="73" customFormat="1" ht="18" customHeight="1" thickBot="1">
      <c r="B10" s="37" t="s">
        <v>11</v>
      </c>
      <c r="C10" s="33">
        <v>74250</v>
      </c>
      <c r="D10" s="33">
        <v>74250</v>
      </c>
      <c r="E10" s="33"/>
      <c r="F10" s="33"/>
      <c r="G10" s="33">
        <v>16500</v>
      </c>
      <c r="H10" s="135"/>
      <c r="I10" s="74">
        <v>-165000</v>
      </c>
      <c r="J10" s="41"/>
      <c r="K10" s="33">
        <f>SUM(C10:G10)</f>
        <v>165000</v>
      </c>
    </row>
    <row r="11" spans="2:47" s="73" customFormat="1" ht="18" customHeight="1">
      <c r="B11" s="85" t="s">
        <v>202</v>
      </c>
      <c r="C11" s="47">
        <f>SUM(C12:C15)</f>
        <v>104000</v>
      </c>
      <c r="D11" s="47">
        <f>SUM(D12:D15)</f>
        <v>104000</v>
      </c>
      <c r="E11" s="47">
        <f>SUM(E12:E15)</f>
        <v>0</v>
      </c>
      <c r="F11" s="47">
        <f>SUM(F12:F15)</f>
        <v>0</v>
      </c>
      <c r="G11" s="47">
        <f>SUM(G12:G15)</f>
        <v>0</v>
      </c>
      <c r="H11" s="47"/>
      <c r="I11" s="47">
        <f>SUM(I12:I15)</f>
        <v>-208000</v>
      </c>
      <c r="J11" s="47">
        <f>SUM(J12:J15)</f>
        <v>0</v>
      </c>
      <c r="K11" s="47">
        <f>SUM(K12:K15)</f>
        <v>208000</v>
      </c>
    </row>
    <row r="12" spans="2:47" s="73" customFormat="1" ht="18" customHeight="1">
      <c r="B12" s="37" t="s">
        <v>21</v>
      </c>
      <c r="C12" s="32">
        <f>(120000*50%)</f>
        <v>60000</v>
      </c>
      <c r="D12" s="32">
        <f>(120000*50%)</f>
        <v>60000</v>
      </c>
      <c r="E12" s="32"/>
      <c r="F12" s="32"/>
      <c r="G12" s="32"/>
      <c r="H12" s="32"/>
      <c r="I12" s="32">
        <f t="shared" ref="I12:I15" si="0">K12*-1</f>
        <v>-120000</v>
      </c>
      <c r="J12" s="32"/>
      <c r="K12" s="32">
        <f t="shared" ref="K12:K15" si="1">SUM(C12:G12)</f>
        <v>120000</v>
      </c>
    </row>
    <row r="13" spans="2:47" s="73" customFormat="1" ht="18" customHeight="1">
      <c r="B13" s="37" t="s">
        <v>19</v>
      </c>
      <c r="C13" s="32">
        <f>(40000*50%)</f>
        <v>20000</v>
      </c>
      <c r="D13" s="32">
        <f>(40000*50%)</f>
        <v>20000</v>
      </c>
      <c r="E13" s="32"/>
      <c r="F13" s="32"/>
      <c r="G13" s="32"/>
      <c r="H13" s="32"/>
      <c r="I13" s="32">
        <f t="shared" si="0"/>
        <v>-40000</v>
      </c>
      <c r="J13" s="32"/>
      <c r="K13" s="32">
        <f t="shared" si="1"/>
        <v>40000</v>
      </c>
    </row>
    <row r="14" spans="2:47" s="73" customFormat="1" ht="18" customHeight="1">
      <c r="B14" s="37" t="s">
        <v>137</v>
      </c>
      <c r="C14" s="32">
        <f>C12*10%</f>
        <v>6000</v>
      </c>
      <c r="D14" s="32">
        <f>D12*10%</f>
        <v>6000</v>
      </c>
      <c r="E14" s="32"/>
      <c r="F14" s="32"/>
      <c r="G14" s="32"/>
      <c r="H14" s="32"/>
      <c r="I14" s="32">
        <f t="shared" si="0"/>
        <v>-12000</v>
      </c>
      <c r="J14" s="32"/>
      <c r="K14" s="32">
        <f t="shared" si="1"/>
        <v>12000</v>
      </c>
    </row>
    <row r="15" spans="2:47" s="73" customFormat="1" ht="18" customHeight="1" thickBot="1">
      <c r="B15" s="37" t="s">
        <v>138</v>
      </c>
      <c r="C15" s="33">
        <f>C12*30%</f>
        <v>18000</v>
      </c>
      <c r="D15" s="33">
        <f>D12*30%</f>
        <v>18000</v>
      </c>
      <c r="E15" s="33"/>
      <c r="F15" s="33"/>
      <c r="G15" s="33"/>
      <c r="H15" s="33"/>
      <c r="I15" s="33">
        <f t="shared" si="0"/>
        <v>-36000</v>
      </c>
      <c r="J15" s="33"/>
      <c r="K15" s="33">
        <f t="shared" si="1"/>
        <v>36000</v>
      </c>
    </row>
    <row r="16" spans="2:47" s="73" customFormat="1" ht="18" customHeight="1">
      <c r="B16" s="85" t="s">
        <v>139</v>
      </c>
      <c r="C16" s="47">
        <f>SUM(C17:C24)</f>
        <v>208195</v>
      </c>
      <c r="D16" s="47">
        <f>SUM(D17:D24)</f>
        <v>161951.25</v>
      </c>
      <c r="E16" s="47">
        <f>SUM(E17:E24)</f>
        <v>5000</v>
      </c>
      <c r="F16" s="47">
        <f>SUM(F17:F24)</f>
        <v>27122</v>
      </c>
      <c r="G16" s="47">
        <f ca="1">SUM(G16:G24)</f>
        <v>0</v>
      </c>
      <c r="H16" s="47">
        <f>SUM(H17:H24)</f>
        <v>-65000</v>
      </c>
      <c r="I16" s="47">
        <f>SUM(I17:I24)</f>
        <v>-134050</v>
      </c>
      <c r="J16" s="47">
        <f>SUM(J17:J24)</f>
        <v>-203218.25</v>
      </c>
      <c r="K16" s="47">
        <f>SUM(K17:K24)</f>
        <v>402268.25</v>
      </c>
    </row>
    <row r="17" spans="2:11" s="73" customFormat="1" ht="18" customHeight="1">
      <c r="B17" s="37" t="s">
        <v>18</v>
      </c>
      <c r="C17" s="32">
        <f>(44000*80%)/2</f>
        <v>17600</v>
      </c>
      <c r="D17" s="32">
        <f>(44000*80%)/2</f>
        <v>17600</v>
      </c>
      <c r="E17" s="32"/>
      <c r="F17" s="32">
        <f>(44000*20%)</f>
        <v>8800</v>
      </c>
      <c r="G17" s="32"/>
      <c r="H17" s="32"/>
      <c r="I17" s="32">
        <v>-44000</v>
      </c>
      <c r="J17" s="32"/>
      <c r="K17" s="32">
        <f t="shared" ref="K17:K22" si="2">SUM(C17:G17)</f>
        <v>44000</v>
      </c>
    </row>
    <row r="18" spans="2:11" s="73" customFormat="1" ht="18" customHeight="1">
      <c r="B18" s="37" t="s">
        <v>19</v>
      </c>
      <c r="C18" s="32">
        <f>(4200*80%)/2</f>
        <v>1680</v>
      </c>
      <c r="D18" s="32">
        <f>(4200*80%)/2</f>
        <v>1680</v>
      </c>
      <c r="E18" s="32"/>
      <c r="F18" s="32">
        <f>(4200*20%)</f>
        <v>840</v>
      </c>
      <c r="G18" s="32"/>
      <c r="H18" s="32"/>
      <c r="I18" s="32">
        <v>-4200</v>
      </c>
      <c r="J18" s="32"/>
      <c r="K18" s="32">
        <f t="shared" si="2"/>
        <v>4200</v>
      </c>
    </row>
    <row r="19" spans="2:11" s="73" customFormat="1" ht="18" customHeight="1">
      <c r="B19" s="37" t="s">
        <v>137</v>
      </c>
      <c r="C19" s="32">
        <f>C17*10%</f>
        <v>1760</v>
      </c>
      <c r="D19" s="32">
        <f>D17*10%</f>
        <v>1760</v>
      </c>
      <c r="E19" s="32"/>
      <c r="F19" s="32">
        <f>F17*10%</f>
        <v>880</v>
      </c>
      <c r="G19" s="32"/>
      <c r="H19" s="32"/>
      <c r="I19" s="32">
        <f>K19*-1</f>
        <v>-4400</v>
      </c>
      <c r="J19" s="32"/>
      <c r="K19" s="32">
        <f t="shared" si="2"/>
        <v>4400</v>
      </c>
    </row>
    <row r="20" spans="2:11" s="73" customFormat="1" ht="18" customHeight="1">
      <c r="B20" s="37" t="s">
        <v>138</v>
      </c>
      <c r="C20" s="32">
        <f>C17*30%</f>
        <v>5280</v>
      </c>
      <c r="D20" s="32">
        <f>D17*30%</f>
        <v>5280</v>
      </c>
      <c r="E20" s="32"/>
      <c r="F20" s="32">
        <f>F17*30%</f>
        <v>2640</v>
      </c>
      <c r="G20" s="32"/>
      <c r="H20" s="32"/>
      <c r="I20" s="32">
        <f>K20*-1</f>
        <v>-13200</v>
      </c>
      <c r="J20" s="32"/>
      <c r="K20" s="32">
        <f t="shared" si="2"/>
        <v>13200</v>
      </c>
    </row>
    <row r="21" spans="2:11" s="73" customFormat="1" ht="18" customHeight="1">
      <c r="B21" s="37" t="s">
        <v>22</v>
      </c>
      <c r="C21" s="32">
        <f>(60000*50%)</f>
        <v>30000</v>
      </c>
      <c r="D21" s="32">
        <f>(60000*50%)</f>
        <v>30000</v>
      </c>
      <c r="E21" s="32"/>
      <c r="F21" s="32"/>
      <c r="G21" s="32"/>
      <c r="H21" s="32"/>
      <c r="I21" s="32">
        <v>-60000</v>
      </c>
      <c r="J21" s="32"/>
      <c r="K21" s="32">
        <f t="shared" si="2"/>
        <v>60000</v>
      </c>
    </row>
    <row r="22" spans="2:11" s="73" customFormat="1" ht="18" customHeight="1">
      <c r="B22" s="37" t="s">
        <v>23</v>
      </c>
      <c r="C22" s="32">
        <v>32500</v>
      </c>
      <c r="D22" s="32">
        <v>32500</v>
      </c>
      <c r="E22" s="32"/>
      <c r="F22" s="32"/>
      <c r="G22" s="32"/>
      <c r="H22" s="32">
        <f>(-C22-D22)</f>
        <v>-65000</v>
      </c>
      <c r="I22" s="32"/>
      <c r="J22" s="32"/>
      <c r="K22" s="32">
        <f t="shared" si="2"/>
        <v>65000</v>
      </c>
    </row>
    <row r="23" spans="2:11" s="73" customFormat="1" ht="18" customHeight="1">
      <c r="B23" s="37" t="s">
        <v>140</v>
      </c>
      <c r="C23" s="91">
        <v>4125</v>
      </c>
      <c r="D23" s="91">
        <v>4125</v>
      </c>
      <c r="E23" s="91"/>
      <c r="F23" s="91"/>
      <c r="G23" s="91"/>
      <c r="H23" s="91"/>
      <c r="I23" s="32">
        <f>SUM(-C23-D23)</f>
        <v>-8250</v>
      </c>
      <c r="J23" s="91"/>
      <c r="K23" s="91">
        <f>C23+D23</f>
        <v>8250</v>
      </c>
    </row>
    <row r="24" spans="2:11" s="73" customFormat="1" ht="18" customHeight="1" thickBot="1">
      <c r="B24" s="37" t="s">
        <v>24</v>
      </c>
      <c r="C24" s="33">
        <f>'Depre. Primer Sem.'!F19</f>
        <v>115250</v>
      </c>
      <c r="D24" s="33">
        <f>'Depre. Primer Sem.'!G19</f>
        <v>69006.25</v>
      </c>
      <c r="E24" s="33">
        <f>'Depre. Primer Sem.'!H19</f>
        <v>5000</v>
      </c>
      <c r="F24" s="33">
        <f>'Depre. Primer Sem.'!I19</f>
        <v>13962</v>
      </c>
      <c r="G24" s="33"/>
      <c r="H24" s="33"/>
      <c r="I24" s="33"/>
      <c r="J24" s="33">
        <f>'Depre. Primer Sem.'!J19</f>
        <v>-203218.25</v>
      </c>
      <c r="K24" s="33">
        <f>SUM(C24:G24)</f>
        <v>203218.25</v>
      </c>
    </row>
    <row r="25" spans="2:11" s="73" customFormat="1" ht="21" customHeight="1">
      <c r="B25" s="160" t="s">
        <v>32</v>
      </c>
      <c r="C25" s="48">
        <f>+C9+C11+C16</f>
        <v>386445</v>
      </c>
      <c r="D25" s="48">
        <f>+D9+D11+D16</f>
        <v>340201.25</v>
      </c>
      <c r="E25" s="48">
        <f>+E9+E11+E16</f>
        <v>5000</v>
      </c>
      <c r="F25" s="48">
        <f>+F9+F11+F16</f>
        <v>27122</v>
      </c>
      <c r="G25" s="48">
        <f>+G9</f>
        <v>16500</v>
      </c>
      <c r="H25" s="48">
        <f>+H16</f>
        <v>-65000</v>
      </c>
      <c r="I25" s="48">
        <f>+I9+I11+I16</f>
        <v>-507050</v>
      </c>
      <c r="J25" s="48">
        <f>+J16</f>
        <v>-203218.25</v>
      </c>
      <c r="K25" s="48">
        <f>+K9+K11+K16</f>
        <v>775268.25</v>
      </c>
    </row>
    <row r="26" spans="2:11" s="73" customFormat="1" ht="18" customHeight="1">
      <c r="B26" s="160" t="s">
        <v>211</v>
      </c>
      <c r="C26" s="48">
        <f>C25+C8</f>
        <v>1386445</v>
      </c>
      <c r="D26" s="48">
        <f>D8+D25</f>
        <v>965201.25</v>
      </c>
      <c r="E26" s="48"/>
      <c r="F26" s="48"/>
      <c r="G26" s="48"/>
      <c r="H26" s="48"/>
      <c r="I26" s="48"/>
      <c r="J26" s="48"/>
      <c r="K26" s="48"/>
    </row>
    <row r="27" spans="2:11" s="73" customFormat="1" ht="18" customHeight="1">
      <c r="B27" s="162" t="s">
        <v>8</v>
      </c>
      <c r="C27" s="161">
        <v>200</v>
      </c>
      <c r="D27" s="161">
        <v>200</v>
      </c>
      <c r="E27" s="89"/>
      <c r="F27" s="32"/>
      <c r="G27" s="32"/>
      <c r="H27" s="32"/>
      <c r="I27" s="32"/>
      <c r="J27" s="32"/>
      <c r="K27" s="32"/>
    </row>
    <row r="28" spans="2:11" s="73" customFormat="1" ht="18" customHeight="1">
      <c r="B28" s="163" t="s">
        <v>33</v>
      </c>
      <c r="C28" s="164">
        <f>C26/C27</f>
        <v>6932.2250000000004</v>
      </c>
      <c r="D28" s="164">
        <f>D26/D27</f>
        <v>4826.0062500000004</v>
      </c>
      <c r="E28" s="164"/>
      <c r="F28" s="164"/>
      <c r="G28" s="32"/>
      <c r="H28" s="32"/>
      <c r="I28" s="32"/>
      <c r="J28" s="32"/>
      <c r="K28" s="32"/>
    </row>
    <row r="29" spans="2:11" s="73" customFormat="1" ht="18" customHeight="1">
      <c r="B29" s="162" t="s">
        <v>79</v>
      </c>
      <c r="C29" s="89">
        <v>190</v>
      </c>
      <c r="D29" s="89">
        <v>200</v>
      </c>
      <c r="E29" s="32"/>
      <c r="F29" s="32"/>
      <c r="G29" s="32"/>
      <c r="H29" s="32"/>
      <c r="I29" s="32"/>
      <c r="J29" s="32"/>
      <c r="K29" s="32"/>
    </row>
    <row r="30" spans="2:11" s="73" customFormat="1" ht="18" customHeight="1">
      <c r="B30" s="163" t="s">
        <v>84</v>
      </c>
      <c r="C30" s="164">
        <f>E37*C29</f>
        <v>526849.10000000009</v>
      </c>
      <c r="D30" s="164">
        <f>D29*E38</f>
        <v>386080.5</v>
      </c>
      <c r="E30" s="32"/>
      <c r="F30" s="32"/>
      <c r="G30" s="32"/>
      <c r="H30" s="32"/>
      <c r="I30" s="32"/>
      <c r="J30" s="32"/>
      <c r="K30" s="32"/>
    </row>
    <row r="31" spans="2:11" s="73" customFormat="1" ht="18" customHeight="1">
      <c r="B31" s="37"/>
      <c r="C31" s="89"/>
      <c r="D31" s="89"/>
      <c r="E31" s="32"/>
      <c r="F31" s="32"/>
      <c r="G31" s="32"/>
      <c r="H31" s="32"/>
      <c r="I31" s="32"/>
      <c r="J31" s="32"/>
      <c r="K31" s="32"/>
    </row>
    <row r="32" spans="2:11" s="73" customFormat="1" ht="18" customHeight="1">
      <c r="B32" s="37" t="s">
        <v>34</v>
      </c>
      <c r="C32" s="89">
        <v>200</v>
      </c>
      <c r="D32" s="89">
        <v>200</v>
      </c>
      <c r="E32" s="32"/>
      <c r="F32" s="32"/>
      <c r="G32" s="32"/>
      <c r="H32" s="32"/>
      <c r="I32" s="32"/>
      <c r="J32" s="32"/>
      <c r="K32" s="32"/>
    </row>
    <row r="33" spans="2:11" s="73" customFormat="1" ht="18" customHeight="1">
      <c r="B33" s="100" t="s">
        <v>35</v>
      </c>
      <c r="C33" s="101">
        <f>C32*C28</f>
        <v>1386445</v>
      </c>
      <c r="D33" s="101">
        <f>D32*D28</f>
        <v>965201.25000000012</v>
      </c>
      <c r="E33" s="32"/>
      <c r="F33" s="32"/>
      <c r="G33" s="32"/>
      <c r="H33" s="32"/>
      <c r="I33" s="32"/>
      <c r="J33" s="32"/>
      <c r="K33" s="32"/>
    </row>
    <row r="34" spans="2:11" s="73" customFormat="1" ht="18" customHeight="1">
      <c r="B34" s="167"/>
      <c r="C34" s="168"/>
      <c r="D34" s="168"/>
      <c r="E34" s="168"/>
      <c r="F34" s="168"/>
      <c r="G34" s="111"/>
      <c r="H34" s="111"/>
      <c r="I34" s="111"/>
      <c r="J34" s="111"/>
      <c r="K34" s="111"/>
    </row>
    <row r="35" spans="2:11" ht="18" customHeight="1">
      <c r="B35" s="169"/>
      <c r="C35" s="172" t="s">
        <v>207</v>
      </c>
      <c r="D35" s="173"/>
      <c r="E35" s="172" t="s">
        <v>203</v>
      </c>
      <c r="F35" s="170"/>
    </row>
    <row r="36" spans="2:11" ht="18" customHeight="1">
      <c r="C36" s="174" t="s">
        <v>208</v>
      </c>
      <c r="D36" s="175" t="s">
        <v>26</v>
      </c>
      <c r="E36" s="176" t="s">
        <v>204</v>
      </c>
    </row>
    <row r="37" spans="2:11" ht="18" customHeight="1">
      <c r="B37" s="171" t="s">
        <v>205</v>
      </c>
      <c r="C37" s="165">
        <f>C28</f>
        <v>6932.2250000000004</v>
      </c>
      <c r="D37" s="166">
        <v>0.4</v>
      </c>
      <c r="E37" s="166">
        <f>C37*D37</f>
        <v>2772.8900000000003</v>
      </c>
    </row>
    <row r="38" spans="2:11" ht="18" customHeight="1">
      <c r="B38" s="171" t="s">
        <v>206</v>
      </c>
      <c r="C38" s="165">
        <f>D28</f>
        <v>4826.0062500000004</v>
      </c>
      <c r="D38" s="166">
        <v>0.4</v>
      </c>
      <c r="E38" s="166">
        <f>C38*D38</f>
        <v>1930.4025000000001</v>
      </c>
    </row>
    <row r="39" spans="2:11" ht="18" customHeight="1"/>
  </sheetData>
  <phoneticPr fontId="3" type="noConversion"/>
  <printOptions horizontalCentered="1"/>
  <pageMargins left="0.15748031496062992" right="0.19685039370078741" top="0.43307086614173229" bottom="0.27559055118110237" header="0.23622047244094491" footer="0.27559055118110237"/>
  <pageSetup paperSize="5" scale="85" orientation="landscape" horizontalDpi="429496729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N44"/>
  <sheetViews>
    <sheetView workbookViewId="0">
      <selection activeCell="G20" sqref="G20"/>
    </sheetView>
  </sheetViews>
  <sheetFormatPr baseColWidth="10" defaultRowHeight="21" customHeight="1"/>
  <cols>
    <col min="1" max="1" width="1" style="1" customWidth="1"/>
    <col min="2" max="2" width="19.7109375" style="1" customWidth="1"/>
    <col min="3" max="4" width="14.7109375" style="16" customWidth="1"/>
    <col min="5" max="6" width="19.7109375" style="1" customWidth="1"/>
    <col min="7" max="8" width="14.7109375" style="16" customWidth="1"/>
    <col min="9" max="16384" width="11.42578125" style="1"/>
  </cols>
  <sheetData>
    <row r="1" spans="2:40" ht="6" customHeight="1">
      <c r="E1" s="16"/>
      <c r="F1" s="16"/>
      <c r="I1" s="16"/>
      <c r="J1" s="16"/>
      <c r="K1" s="16"/>
    </row>
    <row r="2" spans="2:40" ht="12" customHeight="1">
      <c r="B2" s="231" t="s">
        <v>37</v>
      </c>
      <c r="C2" s="232"/>
      <c r="D2" s="232"/>
      <c r="E2" s="232"/>
      <c r="F2" s="232"/>
      <c r="G2" s="232"/>
      <c r="H2" s="232"/>
      <c r="I2" s="16"/>
      <c r="J2" s="16"/>
      <c r="K2" s="16"/>
    </row>
    <row r="3" spans="2:40" ht="6" customHeight="1">
      <c r="B3" s="232"/>
      <c r="C3" s="232"/>
      <c r="D3" s="232"/>
      <c r="E3" s="232"/>
      <c r="F3" s="232"/>
      <c r="G3" s="232"/>
      <c r="H3" s="232"/>
      <c r="I3" s="16"/>
      <c r="J3" s="16"/>
      <c r="K3" s="16"/>
    </row>
    <row r="4" spans="2:40" ht="21" customHeight="1">
      <c r="B4" s="46"/>
      <c r="C4" s="46"/>
      <c r="D4" s="46"/>
      <c r="E4" s="46"/>
      <c r="F4" s="46"/>
      <c r="G4" s="46"/>
      <c r="H4" s="46"/>
      <c r="I4" s="16"/>
      <c r="J4" s="16"/>
      <c r="K4" s="16"/>
    </row>
    <row r="5" spans="2:40" s="8" customFormat="1" ht="21" customHeight="1">
      <c r="B5" s="21" t="s">
        <v>15</v>
      </c>
      <c r="C5" s="14"/>
      <c r="D5" s="29">
        <f>165000*90%</f>
        <v>148500</v>
      </c>
      <c r="E5" s="15" t="s">
        <v>191</v>
      </c>
      <c r="F5" s="49"/>
      <c r="G5" s="28"/>
      <c r="H5" s="29"/>
    </row>
    <row r="6" spans="2:40" s="8" customFormat="1" ht="21" customHeight="1" thickBot="1">
      <c r="C6" s="15"/>
      <c r="D6" s="15"/>
      <c r="F6" s="50"/>
      <c r="G6" s="28"/>
      <c r="H6" s="28"/>
    </row>
    <row r="7" spans="2:40" s="8" customFormat="1" ht="30" customHeight="1" thickBot="1">
      <c r="B7" s="149" t="s">
        <v>12</v>
      </c>
      <c r="C7" s="150" t="s">
        <v>13</v>
      </c>
      <c r="D7" s="150" t="s">
        <v>16</v>
      </c>
      <c r="E7" s="151"/>
      <c r="F7" s="152" t="s">
        <v>3</v>
      </c>
      <c r="G7" s="52"/>
      <c r="H7" s="5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2:40" s="8" customFormat="1" ht="21" customHeight="1">
      <c r="B8" s="138" t="str">
        <f>'HCP Primer Sem.'!C6</f>
        <v>Ganado Lechero</v>
      </c>
      <c r="C8" s="7">
        <v>200</v>
      </c>
      <c r="D8" s="30">
        <f>(C8*D5)/C10</f>
        <v>74250</v>
      </c>
      <c r="E8" s="6"/>
      <c r="F8" s="139"/>
      <c r="G8" s="53"/>
      <c r="H8" s="54"/>
    </row>
    <row r="9" spans="2:40" s="8" customFormat="1" ht="21" customHeight="1" thickBot="1">
      <c r="B9" s="140" t="str">
        <f>'HCP Primer Sem.'!D6</f>
        <v>Ganado Ovejero</v>
      </c>
      <c r="C9" s="141">
        <v>200</v>
      </c>
      <c r="D9" s="142">
        <f>(C9*D5)/C10</f>
        <v>74250</v>
      </c>
      <c r="E9" s="68"/>
      <c r="F9" s="143"/>
      <c r="G9" s="53"/>
      <c r="H9" s="54"/>
    </row>
    <row r="10" spans="2:40" s="8" customFormat="1" ht="21" customHeight="1" thickBot="1">
      <c r="B10" s="144" t="s">
        <v>14</v>
      </c>
      <c r="C10" s="148">
        <f>SUM(C8:C9)</f>
        <v>400</v>
      </c>
      <c r="D10" s="145">
        <f>SUM(D8:D9)</f>
        <v>148500</v>
      </c>
      <c r="E10" s="146">
        <v>165000</v>
      </c>
      <c r="F10" s="147">
        <f>+E10-D10</f>
        <v>16500</v>
      </c>
      <c r="G10" s="53"/>
      <c r="H10" s="54"/>
    </row>
    <row r="11" spans="2:40" ht="6" customHeight="1">
      <c r="E11" s="16"/>
      <c r="F11" s="20"/>
      <c r="G11" s="20"/>
      <c r="H11" s="20"/>
      <c r="I11" s="16"/>
      <c r="J11" s="16"/>
      <c r="K11" s="16"/>
    </row>
    <row r="12" spans="2:40" ht="21" customHeight="1">
      <c r="B12" s="49"/>
      <c r="C12" s="28"/>
      <c r="D12" s="29"/>
      <c r="F12" s="49"/>
      <c r="G12" s="28"/>
      <c r="H12" s="29"/>
    </row>
    <row r="13" spans="2:40" ht="21" customHeight="1">
      <c r="B13" s="50"/>
      <c r="C13" s="28"/>
      <c r="D13" s="28"/>
      <c r="F13" s="50"/>
      <c r="G13" s="99" t="s">
        <v>143</v>
      </c>
      <c r="H13" s="28" t="s">
        <v>144</v>
      </c>
    </row>
    <row r="14" spans="2:40" s="8" customFormat="1" ht="21" customHeight="1">
      <c r="B14" s="21" t="s">
        <v>141</v>
      </c>
      <c r="C14" s="14"/>
      <c r="D14" s="29">
        <v>110000</v>
      </c>
      <c r="F14" s="49" t="s">
        <v>142</v>
      </c>
      <c r="G14" s="98">
        <f>D14*15%</f>
        <v>16500</v>
      </c>
      <c r="H14" s="29">
        <f>G14/2</f>
        <v>8250</v>
      </c>
    </row>
    <row r="15" spans="2:40" s="8" customFormat="1" ht="21" customHeight="1" thickBot="1">
      <c r="C15" s="15"/>
      <c r="D15" s="15"/>
      <c r="F15" s="50"/>
      <c r="G15" s="28"/>
      <c r="H15" s="28"/>
    </row>
    <row r="16" spans="2:40" s="8" customFormat="1" ht="30" customHeight="1" thickBot="1">
      <c r="B16" s="2" t="s">
        <v>12</v>
      </c>
      <c r="C16" s="233" t="s">
        <v>145</v>
      </c>
      <c r="D16" s="234"/>
      <c r="E16" s="13"/>
      <c r="F16" s="51"/>
      <c r="G16" s="52"/>
      <c r="H16" s="5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2:11" s="8" customFormat="1" ht="21" customHeight="1">
      <c r="B17" s="38" t="str">
        <f>B8</f>
        <v>Ganado Lechero</v>
      </c>
      <c r="C17" s="235">
        <f>H14/2</f>
        <v>4125</v>
      </c>
      <c r="D17" s="236"/>
      <c r="F17" s="50"/>
      <c r="G17" s="53"/>
      <c r="H17" s="54"/>
    </row>
    <row r="18" spans="2:11" s="8" customFormat="1" ht="21" customHeight="1" thickBot="1">
      <c r="B18" s="24" t="str">
        <f>B9</f>
        <v>Ganado Ovejero</v>
      </c>
      <c r="C18" s="237">
        <f>H14/2</f>
        <v>4125</v>
      </c>
      <c r="D18" s="238"/>
      <c r="F18" s="50"/>
      <c r="G18" s="53"/>
      <c r="H18" s="54"/>
    </row>
    <row r="19" spans="2:11" s="8" customFormat="1" ht="21" customHeight="1" thickBot="1">
      <c r="B19" s="22" t="s">
        <v>14</v>
      </c>
      <c r="C19" s="239">
        <f>SUM(C17:D18)</f>
        <v>8250</v>
      </c>
      <c r="D19" s="240"/>
      <c r="F19" s="50"/>
      <c r="G19" s="53"/>
      <c r="H19" s="54"/>
    </row>
    <row r="20" spans="2:11" ht="21" customHeight="1" thickTop="1">
      <c r="B20" s="51"/>
      <c r="C20" s="52"/>
      <c r="D20" s="52"/>
      <c r="F20" s="51"/>
      <c r="G20" s="52"/>
      <c r="H20" s="52"/>
    </row>
    <row r="21" spans="2:11" ht="21" customHeight="1">
      <c r="B21" s="50"/>
      <c r="C21" s="53"/>
      <c r="D21" s="54"/>
      <c r="F21" s="50"/>
      <c r="G21" s="53"/>
      <c r="H21" s="54"/>
    </row>
    <row r="22" spans="2:11" ht="21" customHeight="1">
      <c r="B22" s="50"/>
      <c r="C22" s="53"/>
      <c r="D22" s="54"/>
      <c r="F22" s="50"/>
      <c r="G22" s="53"/>
      <c r="H22" s="54"/>
    </row>
    <row r="23" spans="2:11" ht="21" customHeight="1">
      <c r="B23" s="50"/>
      <c r="C23" s="53"/>
      <c r="D23" s="54"/>
      <c r="F23" s="50"/>
      <c r="G23" s="53"/>
      <c r="H23" s="54"/>
    </row>
    <row r="24" spans="2:11" ht="21" customHeight="1">
      <c r="B24" s="50"/>
      <c r="C24" s="53"/>
      <c r="D24" s="54"/>
      <c r="F24" s="50"/>
      <c r="G24" s="53"/>
      <c r="H24" s="54"/>
    </row>
    <row r="25" spans="2:11" ht="21" customHeight="1">
      <c r="B25" s="50"/>
      <c r="C25" s="53"/>
      <c r="D25" s="54"/>
      <c r="F25" s="50"/>
      <c r="G25" s="53"/>
      <c r="H25" s="54"/>
    </row>
    <row r="26" spans="2:11" ht="6" customHeight="1">
      <c r="B26" s="19"/>
      <c r="C26" s="20"/>
      <c r="D26" s="20"/>
      <c r="E26" s="16"/>
      <c r="F26" s="20"/>
      <c r="G26" s="20"/>
      <c r="H26" s="20"/>
      <c r="I26" s="16"/>
      <c r="J26" s="16"/>
      <c r="K26" s="16"/>
    </row>
    <row r="27" spans="2:11" ht="21" customHeight="1">
      <c r="B27" s="49"/>
      <c r="C27" s="28"/>
      <c r="D27" s="29"/>
      <c r="F27" s="49"/>
      <c r="G27" s="28"/>
      <c r="H27" s="29"/>
    </row>
    <row r="28" spans="2:11" ht="21" customHeight="1">
      <c r="B28" s="50"/>
      <c r="C28" s="28"/>
      <c r="D28" s="28"/>
      <c r="F28" s="50"/>
      <c r="G28" s="28"/>
      <c r="H28" s="28"/>
    </row>
    <row r="29" spans="2:11" ht="21" customHeight="1">
      <c r="B29" s="51"/>
      <c r="C29" s="52"/>
      <c r="D29" s="52"/>
      <c r="F29" s="51"/>
      <c r="G29" s="52"/>
      <c r="H29" s="52"/>
    </row>
    <row r="30" spans="2:11" ht="21" customHeight="1">
      <c r="B30" s="50"/>
      <c r="C30" s="53"/>
      <c r="D30" s="54"/>
      <c r="F30" s="50"/>
      <c r="G30" s="53"/>
      <c r="H30" s="54"/>
    </row>
    <row r="31" spans="2:11" ht="21" customHeight="1">
      <c r="B31" s="50"/>
      <c r="C31" s="53"/>
      <c r="D31" s="54"/>
      <c r="F31" s="50"/>
      <c r="G31" s="53"/>
      <c r="H31" s="54"/>
    </row>
    <row r="32" spans="2:11" ht="21" customHeight="1">
      <c r="B32" s="50"/>
      <c r="C32" s="53"/>
      <c r="D32" s="54"/>
      <c r="F32" s="50"/>
      <c r="G32" s="53"/>
      <c r="H32" s="54"/>
    </row>
    <row r="33" spans="2:11" ht="21" customHeight="1">
      <c r="B33" s="50"/>
      <c r="C33" s="53"/>
      <c r="D33" s="54"/>
      <c r="F33" s="50"/>
      <c r="G33" s="53"/>
      <c r="H33" s="54"/>
    </row>
    <row r="34" spans="2:11" ht="21" customHeight="1">
      <c r="B34" s="50"/>
      <c r="C34" s="53"/>
      <c r="D34" s="54"/>
      <c r="F34" s="50"/>
      <c r="G34" s="53"/>
      <c r="H34" s="54"/>
    </row>
    <row r="35" spans="2:11" ht="6" customHeight="1">
      <c r="B35" s="19"/>
      <c r="C35" s="20"/>
      <c r="D35" s="20"/>
      <c r="E35" s="16"/>
      <c r="F35" s="20"/>
      <c r="G35" s="20"/>
      <c r="H35" s="20"/>
      <c r="I35" s="16"/>
      <c r="J35" s="16"/>
      <c r="K35" s="16"/>
    </row>
    <row r="36" spans="2:11" ht="21" customHeight="1">
      <c r="B36" s="49"/>
      <c r="C36" s="28"/>
      <c r="D36" s="29"/>
      <c r="F36" s="19"/>
      <c r="G36" s="20"/>
      <c r="H36" s="20"/>
    </row>
    <row r="37" spans="2:11" ht="21" customHeight="1">
      <c r="B37" s="50"/>
      <c r="C37" s="28"/>
      <c r="D37" s="28"/>
      <c r="F37" s="19"/>
      <c r="G37" s="20"/>
      <c r="H37" s="20"/>
    </row>
    <row r="38" spans="2:11" ht="21" customHeight="1">
      <c r="B38" s="51"/>
      <c r="C38" s="52"/>
      <c r="D38" s="52"/>
      <c r="F38" s="19"/>
      <c r="G38" s="20"/>
      <c r="H38" s="20"/>
    </row>
    <row r="39" spans="2:11" ht="21" customHeight="1">
      <c r="B39" s="50"/>
      <c r="C39" s="53"/>
      <c r="D39" s="54"/>
      <c r="F39" s="19"/>
      <c r="G39" s="20"/>
      <c r="H39" s="20"/>
    </row>
    <row r="40" spans="2:11" ht="21" customHeight="1">
      <c r="B40" s="50"/>
      <c r="C40" s="53"/>
      <c r="D40" s="54"/>
      <c r="F40" s="19"/>
      <c r="G40" s="20"/>
      <c r="H40" s="20"/>
    </row>
    <row r="41" spans="2:11" ht="21" customHeight="1">
      <c r="B41" s="50"/>
      <c r="C41" s="53"/>
      <c r="D41" s="54"/>
      <c r="F41" s="19"/>
      <c r="G41" s="20"/>
      <c r="H41" s="20"/>
    </row>
    <row r="42" spans="2:11" ht="21" customHeight="1">
      <c r="B42" s="50"/>
      <c r="C42" s="53"/>
      <c r="D42" s="54"/>
      <c r="F42" s="19"/>
      <c r="G42" s="20"/>
      <c r="H42" s="20"/>
    </row>
    <row r="43" spans="2:11" ht="21" customHeight="1">
      <c r="B43" s="50"/>
      <c r="C43" s="53"/>
      <c r="D43" s="54"/>
      <c r="F43" s="19"/>
      <c r="G43" s="20"/>
      <c r="H43" s="20"/>
    </row>
    <row r="44" spans="2:11" ht="21" customHeight="1">
      <c r="B44" s="19"/>
      <c r="C44" s="20"/>
      <c r="D44" s="20"/>
      <c r="F44" s="19"/>
      <c r="G44" s="20"/>
      <c r="H44" s="20"/>
    </row>
  </sheetData>
  <mergeCells count="5">
    <mergeCell ref="B2:H3"/>
    <mergeCell ref="C16:D16"/>
    <mergeCell ref="C17:D17"/>
    <mergeCell ref="C18:D18"/>
    <mergeCell ref="C19:D19"/>
  </mergeCells>
  <phoneticPr fontId="9" type="noConversion"/>
  <printOptions horizontalCentered="1"/>
  <pageMargins left="0.19685039370078741" right="0.19685039370078741" top="0.35433070866141736" bottom="0.35433070866141736" header="0.31496062992125984" footer="0.31496062992125984"/>
  <pageSetup scale="9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R33"/>
  <sheetViews>
    <sheetView workbookViewId="0">
      <selection activeCell="P19" sqref="P19"/>
    </sheetView>
  </sheetViews>
  <sheetFormatPr baseColWidth="10" defaultRowHeight="21" customHeight="1"/>
  <cols>
    <col min="1" max="1" width="1.85546875" style="1" customWidth="1"/>
    <col min="2" max="2" width="27.42578125" style="1" customWidth="1"/>
    <col min="3" max="3" width="13.140625" style="1" customWidth="1"/>
    <col min="4" max="4" width="6" style="1" bestFit="1" customWidth="1"/>
    <col min="5" max="5" width="13.28515625" style="1" customWidth="1"/>
    <col min="6" max="6" width="11.7109375" style="1" customWidth="1"/>
    <col min="7" max="7" width="13.42578125" style="1" customWidth="1"/>
    <col min="8" max="9" width="9.7109375" style="1" customWidth="1"/>
    <col min="10" max="10" width="11.28515625" style="1" bestFit="1" customWidth="1"/>
    <col min="11" max="11" width="10.7109375" style="1" customWidth="1"/>
    <col min="12" max="14" width="11.42578125" style="1"/>
    <col min="15" max="15" width="12.85546875" style="1" bestFit="1" customWidth="1"/>
    <col min="16" max="16384" width="11.42578125" style="1"/>
  </cols>
  <sheetData>
    <row r="1" spans="2:44" ht="6" customHeight="1">
      <c r="C1" s="16"/>
      <c r="D1" s="16"/>
      <c r="E1" s="16"/>
      <c r="F1" s="16"/>
      <c r="G1" s="16"/>
      <c r="H1" s="16"/>
      <c r="I1" s="16"/>
      <c r="J1" s="16"/>
    </row>
    <row r="2" spans="2:44" ht="21" customHeight="1">
      <c r="B2" s="11" t="s">
        <v>71</v>
      </c>
      <c r="C2" s="4"/>
      <c r="D2" s="4"/>
      <c r="E2" s="4"/>
      <c r="F2" s="4"/>
      <c r="G2" s="4"/>
      <c r="H2" s="4"/>
      <c r="I2" s="4"/>
      <c r="J2" s="4"/>
      <c r="K2" s="4"/>
    </row>
    <row r="3" spans="2:44" ht="21" customHeight="1">
      <c r="B3" s="11" t="s">
        <v>24</v>
      </c>
      <c r="C3" s="4"/>
      <c r="D3" s="4"/>
      <c r="E3" s="4"/>
      <c r="F3" s="4"/>
      <c r="G3" s="4"/>
      <c r="H3" s="4"/>
      <c r="I3" s="4"/>
      <c r="J3" s="4"/>
      <c r="K3" s="4"/>
    </row>
    <row r="4" spans="2:44" ht="21" customHeight="1">
      <c r="B4" s="12" t="s">
        <v>6</v>
      </c>
      <c r="C4" s="5"/>
      <c r="D4" s="5"/>
      <c r="E4" s="5"/>
      <c r="F4" s="5"/>
      <c r="G4" s="5"/>
      <c r="H4" s="5"/>
      <c r="I4" s="5"/>
      <c r="J4" s="5"/>
      <c r="K4" s="5"/>
    </row>
    <row r="5" spans="2:44" ht="21" customHeight="1" thickBot="1"/>
    <row r="6" spans="2:44" ht="30" customHeight="1" thickBot="1">
      <c r="B6" s="2" t="s">
        <v>1</v>
      </c>
      <c r="C6" s="2" t="s">
        <v>25</v>
      </c>
      <c r="D6" s="3" t="s">
        <v>26</v>
      </c>
      <c r="E6" s="3" t="s">
        <v>27</v>
      </c>
      <c r="F6" s="83" t="s">
        <v>72</v>
      </c>
      <c r="G6" s="83" t="s">
        <v>100</v>
      </c>
      <c r="H6" s="182" t="s">
        <v>90</v>
      </c>
      <c r="I6" s="3" t="s">
        <v>2</v>
      </c>
      <c r="J6" s="3" t="s">
        <v>28</v>
      </c>
      <c r="K6" s="2" t="s">
        <v>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2:44" s="8" customFormat="1" ht="21" customHeight="1">
      <c r="B7" s="18" t="s">
        <v>29</v>
      </c>
      <c r="C7" s="34"/>
      <c r="D7" s="35"/>
      <c r="E7" s="34"/>
      <c r="F7" s="34"/>
      <c r="G7" s="34"/>
      <c r="H7" s="183"/>
      <c r="I7" s="34"/>
      <c r="J7" s="34"/>
      <c r="K7" s="34"/>
      <c r="L7" s="105">
        <v>0.5</v>
      </c>
    </row>
    <row r="8" spans="2:44" s="8" customFormat="1" ht="21" customHeight="1">
      <c r="B8" s="9" t="s">
        <v>73</v>
      </c>
      <c r="C8" s="10">
        <f>(50000-(50000*15%))</f>
        <v>42500</v>
      </c>
      <c r="D8" s="36">
        <v>25</v>
      </c>
      <c r="E8" s="10">
        <f>C8*25%/2</f>
        <v>5312.5</v>
      </c>
      <c r="F8" s="10"/>
      <c r="G8" s="10"/>
      <c r="H8" s="184"/>
      <c r="I8" s="10">
        <v>5312.5</v>
      </c>
      <c r="J8" s="37">
        <f>-(I8)</f>
        <v>-5312.5</v>
      </c>
      <c r="K8" s="10">
        <f>SUM(F8:I8)</f>
        <v>5312.5</v>
      </c>
      <c r="L8" s="127">
        <f>+E8/2</f>
        <v>2656.25</v>
      </c>
    </row>
    <row r="9" spans="2:44" s="8" customFormat="1" ht="21" customHeight="1">
      <c r="B9" s="17" t="s">
        <v>74</v>
      </c>
      <c r="C9" s="10">
        <f>50000</f>
        <v>50000</v>
      </c>
      <c r="D9" s="36">
        <v>5</v>
      </c>
      <c r="E9" s="10">
        <f>C9*5%/2</f>
        <v>1250</v>
      </c>
      <c r="F9" s="10"/>
      <c r="G9" s="10"/>
      <c r="H9" s="184"/>
      <c r="I9" s="10">
        <v>1250</v>
      </c>
      <c r="J9" s="37">
        <v>-1250</v>
      </c>
      <c r="K9" s="10">
        <f>I9</f>
        <v>1250</v>
      </c>
      <c r="M9" s="153"/>
      <c r="N9" s="153"/>
      <c r="O9" s="153"/>
      <c r="P9" s="153"/>
      <c r="Q9" s="153"/>
      <c r="R9" s="153"/>
      <c r="S9" s="153"/>
    </row>
    <row r="10" spans="2:44" s="8" customFormat="1" ht="21" customHeight="1">
      <c r="B10" s="17" t="s">
        <v>30</v>
      </c>
      <c r="C10" s="10">
        <f>40000</f>
        <v>40000</v>
      </c>
      <c r="D10" s="36">
        <v>20</v>
      </c>
      <c r="E10" s="10">
        <f>C10*20%/2</f>
        <v>4000</v>
      </c>
      <c r="F10" s="10">
        <f>4000*75%</f>
        <v>3000</v>
      </c>
      <c r="G10" s="10">
        <f>4000*25%</f>
        <v>1000</v>
      </c>
      <c r="H10" s="184"/>
      <c r="I10" s="10"/>
      <c r="J10" s="37">
        <v>-4000</v>
      </c>
      <c r="K10" s="10">
        <f>SUM(F10:I10)</f>
        <v>4000</v>
      </c>
      <c r="M10" s="180" t="s">
        <v>196</v>
      </c>
      <c r="N10" s="181"/>
      <c r="O10" s="181"/>
      <c r="P10" s="179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2:44" s="8" customFormat="1" ht="21" customHeight="1">
      <c r="B11" s="17" t="s">
        <v>31</v>
      </c>
      <c r="C11" s="10">
        <f>80000</f>
        <v>80000</v>
      </c>
      <c r="D11" s="36">
        <v>20</v>
      </c>
      <c r="E11" s="10">
        <f>C11*20%/2</f>
        <v>8000</v>
      </c>
      <c r="F11" s="10">
        <f>(8000*75%)</f>
        <v>6000</v>
      </c>
      <c r="G11" s="10">
        <f>(8000*20%)</f>
        <v>1600</v>
      </c>
      <c r="H11" s="184"/>
      <c r="I11" s="10">
        <f>E11*5%</f>
        <v>400</v>
      </c>
      <c r="J11" s="37">
        <v>-8000</v>
      </c>
      <c r="K11" s="10">
        <f>SUM(F11:I11)</f>
        <v>8000</v>
      </c>
      <c r="M11" s="155">
        <v>25000</v>
      </c>
      <c r="N11" s="154" t="s">
        <v>197</v>
      </c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2:44" s="8" customFormat="1" ht="21" customHeight="1">
      <c r="B12" s="86" t="s">
        <v>75</v>
      </c>
      <c r="C12" s="67">
        <f>20000</f>
        <v>20000</v>
      </c>
      <c r="D12" s="87">
        <v>20</v>
      </c>
      <c r="E12" s="10">
        <f>C12*20%/2</f>
        <v>2000</v>
      </c>
      <c r="F12" s="67"/>
      <c r="G12" s="67"/>
      <c r="H12" s="185"/>
      <c r="I12" s="67">
        <v>2000</v>
      </c>
      <c r="J12" s="88">
        <v>-2000</v>
      </c>
      <c r="K12" s="10">
        <f t="shared" ref="K12:K14" si="0">SUM(F12:I12)</f>
        <v>2000</v>
      </c>
      <c r="M12" s="153">
        <v>-2656.25</v>
      </c>
      <c r="N12" s="154" t="s">
        <v>198</v>
      </c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2:44" s="8" customFormat="1" ht="21" customHeight="1" thickBot="1">
      <c r="B13" s="86" t="s">
        <v>76</v>
      </c>
      <c r="C13" s="67">
        <f>30000</f>
        <v>30000</v>
      </c>
      <c r="D13" s="87">
        <v>33.33</v>
      </c>
      <c r="E13" s="10">
        <f>C13*33.33%/2</f>
        <v>4999.5</v>
      </c>
      <c r="F13" s="67"/>
      <c r="G13" s="67"/>
      <c r="H13" s="185"/>
      <c r="I13" s="67">
        <v>4999.5</v>
      </c>
      <c r="J13" s="88">
        <v>-4999.5</v>
      </c>
      <c r="K13" s="10">
        <f t="shared" si="0"/>
        <v>4999.5</v>
      </c>
      <c r="M13" s="177">
        <f ca="1">SUM(M11:M13)</f>
        <v>22343.75</v>
      </c>
      <c r="N13" s="178" t="s">
        <v>199</v>
      </c>
      <c r="O13" s="179"/>
      <c r="P13" s="179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2:44" s="8" customFormat="1" ht="21" customHeight="1" thickTop="1" thickBot="1">
      <c r="B14" s="116" t="s">
        <v>77</v>
      </c>
      <c r="C14" s="117">
        <f>50000</f>
        <v>50000</v>
      </c>
      <c r="D14" s="118">
        <v>20</v>
      </c>
      <c r="E14" s="120">
        <f>C14*20%/2</f>
        <v>5000</v>
      </c>
      <c r="F14" s="117"/>
      <c r="G14" s="117"/>
      <c r="H14" s="185">
        <f>E14</f>
        <v>5000</v>
      </c>
      <c r="I14" s="67"/>
      <c r="J14" s="88">
        <v>-5000</v>
      </c>
      <c r="K14" s="10">
        <f t="shared" si="0"/>
        <v>5000</v>
      </c>
      <c r="M14" s="153">
        <f ca="1">-M13*0.25</f>
        <v>-5585.9375</v>
      </c>
      <c r="N14" s="154" t="s">
        <v>216</v>
      </c>
      <c r="P14" s="157"/>
      <c r="Q14" s="154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2:44" s="8" customFormat="1" ht="21" customHeight="1" thickBot="1">
      <c r="B15" s="116" t="s">
        <v>72</v>
      </c>
      <c r="C15" s="117">
        <v>850000</v>
      </c>
      <c r="D15" s="118">
        <v>25</v>
      </c>
      <c r="E15" s="117">
        <f>C15*D15/100/2</f>
        <v>106250</v>
      </c>
      <c r="F15" s="117">
        <f>E15</f>
        <v>106250</v>
      </c>
      <c r="G15" s="117"/>
      <c r="H15" s="185"/>
      <c r="I15" s="117"/>
      <c r="J15" s="119">
        <f>K15*-1</f>
        <v>-106250</v>
      </c>
      <c r="K15" s="117">
        <f>F15</f>
        <v>106250</v>
      </c>
      <c r="M15" s="177">
        <f ca="1">+M13+M14</f>
        <v>16757.8125</v>
      </c>
      <c r="N15" s="178" t="s">
        <v>200</v>
      </c>
      <c r="O15" s="179"/>
      <c r="P15" s="179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2:44" s="8" customFormat="1" ht="21" customHeight="1" thickTop="1">
      <c r="B16" s="116" t="s">
        <v>151</v>
      </c>
      <c r="C16" s="117"/>
      <c r="D16" s="118"/>
      <c r="E16" s="117"/>
      <c r="F16" s="117"/>
      <c r="G16" s="117"/>
      <c r="H16" s="185"/>
      <c r="I16" s="117"/>
      <c r="J16" s="119"/>
      <c r="K16" s="117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2:26" s="8" customFormat="1" ht="21" customHeight="1">
      <c r="B17" s="116" t="s">
        <v>100</v>
      </c>
      <c r="C17" s="117">
        <v>531250</v>
      </c>
      <c r="D17" s="118">
        <v>25</v>
      </c>
      <c r="E17" s="117">
        <f>C17*D17/100/2</f>
        <v>66406.25</v>
      </c>
      <c r="F17" s="117"/>
      <c r="G17" s="117">
        <f>E17</f>
        <v>66406.25</v>
      </c>
      <c r="H17" s="185"/>
      <c r="I17" s="117"/>
      <c r="J17" s="119">
        <f>K17*-1</f>
        <v>-66406.25</v>
      </c>
      <c r="K17" s="117">
        <f>G17</f>
        <v>66406.25</v>
      </c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2:26" s="8" customFormat="1" ht="21" customHeight="1" thickBot="1">
      <c r="B18" s="116" t="s">
        <v>152</v>
      </c>
      <c r="C18" s="121"/>
      <c r="D18" s="122"/>
      <c r="E18" s="121"/>
      <c r="F18" s="121"/>
      <c r="G18" s="121"/>
      <c r="H18" s="186"/>
      <c r="I18" s="121"/>
      <c r="J18" s="123"/>
      <c r="K18" s="121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2:26" s="8" customFormat="1" ht="21" customHeight="1" thickBot="1">
      <c r="B19" s="158" t="s">
        <v>14</v>
      </c>
      <c r="C19" s="43"/>
      <c r="D19" s="44"/>
      <c r="E19" s="43">
        <f>SUM(E7:E17)</f>
        <v>203218.25</v>
      </c>
      <c r="F19" s="43">
        <f>SUM(F7:F17)</f>
        <v>115250</v>
      </c>
      <c r="G19" s="43">
        <f>SUM(G7:G17)</f>
        <v>69006.25</v>
      </c>
      <c r="H19" s="187">
        <f t="shared" ref="H19:K19" si="1">SUM(H7:H17)</f>
        <v>5000</v>
      </c>
      <c r="I19" s="43">
        <f t="shared" si="1"/>
        <v>13962</v>
      </c>
      <c r="J19" s="45">
        <f t="shared" si="1"/>
        <v>-203218.25</v>
      </c>
      <c r="K19" s="43">
        <f t="shared" si="1"/>
        <v>203218.25</v>
      </c>
      <c r="M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2:26" ht="21" customHeight="1" thickTop="1"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2:26" ht="21" customHeight="1"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2:26" ht="21" customHeight="1"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2:26" ht="21" customHeight="1"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2:26" ht="21" customHeight="1"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2:26" ht="21" customHeight="1"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2:26" ht="21" customHeight="1"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2:26" ht="21" customHeight="1"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2:26" ht="21" customHeight="1">
      <c r="F28" s="16"/>
    </row>
    <row r="29" spans="2:26" ht="21" customHeight="1">
      <c r="F29" s="124"/>
      <c r="G29" s="125"/>
    </row>
    <row r="30" spans="2:26" ht="21" customHeight="1">
      <c r="F30" s="124"/>
      <c r="G30" s="125"/>
    </row>
    <row r="31" spans="2:26" ht="21" customHeight="1">
      <c r="F31" s="124"/>
      <c r="G31" s="125"/>
    </row>
    <row r="32" spans="2:26" ht="21" customHeight="1">
      <c r="F32" s="124"/>
      <c r="G32" s="125"/>
    </row>
    <row r="33" spans="7:7" ht="21" customHeight="1">
      <c r="G33" s="125"/>
    </row>
  </sheetData>
  <phoneticPr fontId="9" type="noConversion"/>
  <printOptions horizontalCentered="1" verticalCentered="1"/>
  <pageMargins left="0.19685039370078741" right="0.19685039370078741" top="0.31496062992125984" bottom="0.31496062992125984" header="0.31496062992125984" footer="0.31496062992125984"/>
  <pageSetup paperSize="5" scale="85" orientation="landscape" horizontalDpi="4294967294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L40"/>
  <sheetViews>
    <sheetView topLeftCell="A22" workbookViewId="0">
      <selection activeCell="B35" sqref="B35"/>
    </sheetView>
  </sheetViews>
  <sheetFormatPr baseColWidth="10" defaultRowHeight="21" customHeight="1"/>
  <cols>
    <col min="1" max="1" width="3" style="56" customWidth="1"/>
    <col min="2" max="2" width="8" style="56" customWidth="1"/>
    <col min="3" max="3" width="58.7109375" style="56" customWidth="1"/>
    <col min="4" max="5" width="16.7109375" style="64" customWidth="1"/>
    <col min="6" max="16384" width="11.42578125" style="56"/>
  </cols>
  <sheetData>
    <row r="1" spans="2:12" s="1" customFormat="1" ht="6" customHeight="1">
      <c r="C1" s="16"/>
      <c r="D1" s="60"/>
      <c r="E1" s="60"/>
      <c r="F1" s="16"/>
      <c r="G1" s="16"/>
      <c r="H1" s="16"/>
      <c r="I1" s="16"/>
      <c r="J1" s="16"/>
      <c r="K1" s="16"/>
      <c r="L1" s="16"/>
    </row>
    <row r="2" spans="2:12" ht="21" customHeight="1">
      <c r="B2" s="21" t="s">
        <v>71</v>
      </c>
      <c r="C2" s="57"/>
      <c r="D2" s="61"/>
      <c r="E2" s="61"/>
    </row>
    <row r="3" spans="2:12" ht="21" customHeight="1">
      <c r="B3" s="12" t="s">
        <v>39</v>
      </c>
      <c r="C3" s="58"/>
      <c r="D3" s="62"/>
      <c r="E3" s="62"/>
    </row>
    <row r="4" spans="2:12" ht="21" customHeight="1">
      <c r="B4" s="12" t="s">
        <v>6</v>
      </c>
      <c r="C4" s="58"/>
      <c r="D4" s="62"/>
      <c r="E4" s="62"/>
    </row>
    <row r="5" spans="2:12" ht="21" customHeight="1" thickBot="1">
      <c r="B5" s="59"/>
      <c r="C5" s="59"/>
      <c r="D5" s="63"/>
      <c r="E5" s="63"/>
    </row>
    <row r="6" spans="2:12" s="8" customFormat="1" ht="21" customHeight="1" thickTop="1">
      <c r="B6" s="18" t="s">
        <v>40</v>
      </c>
      <c r="C6" s="6"/>
      <c r="D6" s="34"/>
      <c r="E6" s="34"/>
    </row>
    <row r="7" spans="2:12" s="8" customFormat="1" ht="21" customHeight="1">
      <c r="B7" s="9"/>
      <c r="C7" s="9" t="s">
        <v>42</v>
      </c>
      <c r="D7" s="10">
        <v>175000</v>
      </c>
      <c r="E7" s="10"/>
    </row>
    <row r="8" spans="2:12" s="8" customFormat="1" ht="21" customHeight="1">
      <c r="B8" s="9"/>
      <c r="C8" s="9" t="s">
        <v>74</v>
      </c>
      <c r="D8" s="10">
        <v>50000</v>
      </c>
      <c r="E8" s="10"/>
    </row>
    <row r="9" spans="2:12" s="8" customFormat="1" ht="21" customHeight="1">
      <c r="B9" s="9"/>
      <c r="C9" s="9" t="s">
        <v>30</v>
      </c>
      <c r="D9" s="10">
        <v>40000</v>
      </c>
      <c r="E9" s="10"/>
    </row>
    <row r="10" spans="2:12" s="8" customFormat="1" ht="21" customHeight="1">
      <c r="B10" s="9"/>
      <c r="C10" s="9" t="s">
        <v>31</v>
      </c>
      <c r="D10" s="10">
        <v>80000</v>
      </c>
      <c r="E10" s="10"/>
    </row>
    <row r="11" spans="2:12" s="8" customFormat="1" ht="21" customHeight="1">
      <c r="B11" s="9"/>
      <c r="C11" s="9" t="s">
        <v>99</v>
      </c>
      <c r="D11" s="10">
        <v>1000000</v>
      </c>
      <c r="E11" s="10"/>
    </row>
    <row r="12" spans="2:12" s="8" customFormat="1" ht="21" customHeight="1">
      <c r="B12" s="9"/>
      <c r="C12" s="9" t="s">
        <v>100</v>
      </c>
      <c r="D12" s="10">
        <v>625000</v>
      </c>
      <c r="E12" s="10"/>
    </row>
    <row r="13" spans="2:12" s="8" customFormat="1" ht="21" customHeight="1">
      <c r="B13" s="9"/>
      <c r="C13" s="9" t="s">
        <v>101</v>
      </c>
      <c r="D13" s="10">
        <v>50000</v>
      </c>
      <c r="E13" s="10"/>
    </row>
    <row r="14" spans="2:12" s="8" customFormat="1" ht="21" customHeight="1">
      <c r="B14" s="9"/>
      <c r="C14" s="9" t="s">
        <v>75</v>
      </c>
      <c r="D14" s="10">
        <v>20000</v>
      </c>
      <c r="E14" s="10"/>
    </row>
    <row r="15" spans="2:12" s="8" customFormat="1" ht="21" customHeight="1">
      <c r="B15" s="9"/>
      <c r="C15" s="9" t="s">
        <v>102</v>
      </c>
      <c r="D15" s="10">
        <v>30000</v>
      </c>
      <c r="E15" s="10"/>
    </row>
    <row r="16" spans="2:12" s="8" customFormat="1" ht="21" customHeight="1">
      <c r="B16" s="9"/>
      <c r="C16" s="9" t="s">
        <v>103</v>
      </c>
      <c r="D16" s="10">
        <v>850000</v>
      </c>
      <c r="E16" s="10"/>
    </row>
    <row r="17" spans="2:5" s="8" customFormat="1" ht="21" customHeight="1">
      <c r="B17" s="9"/>
      <c r="C17" s="9" t="s">
        <v>104</v>
      </c>
      <c r="D17" s="10">
        <v>50000</v>
      </c>
      <c r="E17" s="10"/>
    </row>
    <row r="18" spans="2:5" s="8" customFormat="1" ht="21" customHeight="1">
      <c r="B18" s="9"/>
      <c r="C18" s="9" t="s">
        <v>41</v>
      </c>
      <c r="D18" s="10">
        <v>130000</v>
      </c>
      <c r="E18" s="10"/>
    </row>
    <row r="19" spans="2:5" s="8" customFormat="1" ht="21" customHeight="1">
      <c r="B19" s="9"/>
      <c r="C19" s="137" t="s">
        <v>43</v>
      </c>
      <c r="D19" s="10"/>
      <c r="E19" s="10">
        <v>42500</v>
      </c>
    </row>
    <row r="20" spans="2:5" s="8" customFormat="1" ht="21" customHeight="1">
      <c r="B20" s="9"/>
      <c r="C20" s="137" t="s">
        <v>105</v>
      </c>
      <c r="D20" s="67"/>
      <c r="E20" s="67">
        <v>110000</v>
      </c>
    </row>
    <row r="21" spans="2:5" s="8" customFormat="1" ht="21" customHeight="1">
      <c r="B21" s="9"/>
      <c r="C21" s="137" t="s">
        <v>106</v>
      </c>
      <c r="D21" s="67"/>
      <c r="E21" s="67">
        <v>20000</v>
      </c>
    </row>
    <row r="22" spans="2:5" s="8" customFormat="1" ht="21" customHeight="1" thickBot="1">
      <c r="B22" s="9"/>
      <c r="C22" s="137" t="s">
        <v>44</v>
      </c>
      <c r="D22" s="39"/>
      <c r="E22" s="39">
        <f>D23-E19-E20-E21</f>
        <v>2927500</v>
      </c>
    </row>
    <row r="23" spans="2:5" s="8" customFormat="1" ht="21" customHeight="1" thickBot="1">
      <c r="B23" s="9"/>
      <c r="C23" s="9" t="s">
        <v>45</v>
      </c>
      <c r="D23" s="65">
        <f>SUM(D7:D22)</f>
        <v>3100000</v>
      </c>
      <c r="E23" s="65">
        <f>SUM(E7:E22)</f>
        <v>3100000</v>
      </c>
    </row>
    <row r="24" spans="2:5" s="8" customFormat="1" ht="21" customHeight="1" thickTop="1">
      <c r="C24" s="9"/>
      <c r="D24" s="10"/>
      <c r="E24" s="10"/>
    </row>
    <row r="25" spans="2:5" s="8" customFormat="1" ht="21" customHeight="1">
      <c r="B25" s="17" t="s">
        <v>46</v>
      </c>
      <c r="C25" s="9" t="s">
        <v>107</v>
      </c>
      <c r="D25" s="10">
        <f>+'HCP Primer Sem.'!C25</f>
        <v>386445</v>
      </c>
      <c r="E25" s="10"/>
    </row>
    <row r="26" spans="2:5" s="8" customFormat="1" ht="21" customHeight="1">
      <c r="B26" s="9"/>
      <c r="C26" s="9" t="s">
        <v>108</v>
      </c>
      <c r="D26" s="10">
        <f>+'HCP Primer Sem.'!D25</f>
        <v>340201.25</v>
      </c>
      <c r="E26" s="10"/>
    </row>
    <row r="27" spans="2:5" s="8" customFormat="1" ht="21" customHeight="1">
      <c r="B27" s="9"/>
      <c r="C27" s="159" t="s">
        <v>209</v>
      </c>
      <c r="D27" s="10">
        <f>+'HCP Primer Sem.'!E25</f>
        <v>5000</v>
      </c>
      <c r="E27" s="10"/>
    </row>
    <row r="28" spans="2:5" s="8" customFormat="1" ht="21" customHeight="1">
      <c r="B28" s="9"/>
      <c r="C28" s="159" t="s">
        <v>213</v>
      </c>
      <c r="D28" s="10">
        <f>+'HCP Primer Sem.'!G25</f>
        <v>16500</v>
      </c>
      <c r="E28" s="10"/>
    </row>
    <row r="29" spans="2:5" s="8" customFormat="1" ht="21" customHeight="1">
      <c r="B29" s="9"/>
      <c r="C29" s="159" t="s">
        <v>210</v>
      </c>
      <c r="D29" s="10">
        <f>+'HCP Primer Sem.'!F25</f>
        <v>27122</v>
      </c>
      <c r="E29" s="10"/>
    </row>
    <row r="30" spans="2:5" s="8" customFormat="1" ht="21" customHeight="1">
      <c r="B30" s="9"/>
      <c r="C30" s="189" t="s">
        <v>212</v>
      </c>
      <c r="D30" s="10"/>
      <c r="E30" s="10">
        <f>-'HCP Primer Sem.'!H25</f>
        <v>65000</v>
      </c>
    </row>
    <row r="31" spans="2:5" s="8" customFormat="1" ht="21" customHeight="1">
      <c r="B31" s="9"/>
      <c r="C31" s="189" t="s">
        <v>51</v>
      </c>
      <c r="D31" s="10"/>
      <c r="E31" s="10">
        <f>-'HCP Primer Sem.'!J25</f>
        <v>203218.25</v>
      </c>
    </row>
    <row r="32" spans="2:5" s="8" customFormat="1" ht="21" customHeight="1" thickBot="1">
      <c r="B32" s="9"/>
      <c r="C32" s="137" t="s">
        <v>109</v>
      </c>
      <c r="D32" s="10"/>
      <c r="E32" s="10">
        <f>-'HCP Primer Sem.'!I25</f>
        <v>507050</v>
      </c>
    </row>
    <row r="33" spans="2:6" s="8" customFormat="1" ht="21" customHeight="1" thickBot="1">
      <c r="B33" s="9"/>
      <c r="C33" s="9" t="s">
        <v>194</v>
      </c>
      <c r="D33" s="43">
        <f>SUM(D25:D32)</f>
        <v>775268.25</v>
      </c>
      <c r="E33" s="43">
        <f>SUM(E30:E32)</f>
        <v>775268.25</v>
      </c>
      <c r="F33" s="55"/>
    </row>
    <row r="34" spans="2:6" s="8" customFormat="1" ht="21" customHeight="1" thickTop="1">
      <c r="B34" s="9"/>
      <c r="C34" s="9"/>
      <c r="D34" s="34"/>
      <c r="E34" s="34"/>
    </row>
    <row r="35" spans="2:6" s="8" customFormat="1" ht="21" customHeight="1">
      <c r="B35" s="17" t="s">
        <v>47</v>
      </c>
      <c r="C35" s="159" t="s">
        <v>214</v>
      </c>
      <c r="D35" s="10">
        <f>+'Depre. Primer Sem.'!L8</f>
        <v>2656.25</v>
      </c>
      <c r="E35" s="10"/>
    </row>
    <row r="36" spans="2:6" s="8" customFormat="1" ht="21" customHeight="1">
      <c r="B36" s="9"/>
      <c r="C36" s="9" t="s">
        <v>103</v>
      </c>
      <c r="D36" s="10">
        <f ca="1">+'Depre. Primer Sem.'!M15</f>
        <v>16757.8125</v>
      </c>
      <c r="E36" s="10"/>
    </row>
    <row r="37" spans="2:6" s="8" customFormat="1" ht="21" customHeight="1">
      <c r="B37" s="9"/>
      <c r="C37" s="9" t="s">
        <v>113</v>
      </c>
      <c r="D37" s="10">
        <f ca="1">-'Depre. Primer Sem.'!M14</f>
        <v>5585.9375</v>
      </c>
      <c r="E37" s="10"/>
    </row>
    <row r="38" spans="2:6" s="8" customFormat="1" ht="21" customHeight="1" thickBot="1">
      <c r="B38" s="9"/>
      <c r="C38" s="137" t="s">
        <v>53</v>
      </c>
      <c r="D38" s="39"/>
      <c r="E38" s="39">
        <v>25000</v>
      </c>
    </row>
    <row r="39" spans="2:6" s="8" customFormat="1" ht="21" customHeight="1" thickBot="1">
      <c r="B39" s="9"/>
      <c r="C39" s="66" t="s">
        <v>52</v>
      </c>
      <c r="D39" s="65">
        <f ca="1">SUM(D35:D38)</f>
        <v>25000</v>
      </c>
      <c r="E39" s="65">
        <f>SUM(E35:E38)</f>
        <v>25000</v>
      </c>
    </row>
    <row r="40" spans="2:6" ht="21" customHeight="1" thickTop="1"/>
  </sheetData>
  <phoneticPr fontId="9" type="noConversion"/>
  <printOptions horizontalCentered="1"/>
  <pageMargins left="0.39370078740157483" right="0.19685039370078741" top="0.78740157480314965" bottom="0.78740157480314965" header="0.31496062992125984" footer="0.31496062992125984"/>
  <pageSetup paperSize="5" scale="85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AW97"/>
  <sheetViews>
    <sheetView tabSelected="1" workbookViewId="0">
      <selection activeCell="K40" sqref="K40"/>
    </sheetView>
  </sheetViews>
  <sheetFormatPr baseColWidth="10" defaultRowHeight="21" customHeight="1"/>
  <cols>
    <col min="1" max="1" width="1" style="75" customWidth="1"/>
    <col min="2" max="2" width="32" style="75" customWidth="1"/>
    <col min="3" max="3" width="13.28515625" style="76" bestFit="1" customWidth="1"/>
    <col min="4" max="4" width="12.28515625" style="76" bestFit="1" customWidth="1"/>
    <col min="5" max="5" width="13.42578125" style="76" customWidth="1"/>
    <col min="6" max="6" width="14.42578125" style="76" customWidth="1"/>
    <col min="7" max="7" width="11.5703125" style="76" bestFit="1" customWidth="1"/>
    <col min="8" max="8" width="13.85546875" style="76" customWidth="1"/>
    <col min="9" max="9" width="13.42578125" style="76" bestFit="1" customWidth="1"/>
    <col min="10" max="10" width="13.42578125" style="76" hidden="1" customWidth="1"/>
    <col min="11" max="11" width="12.42578125" style="76" bestFit="1" customWidth="1"/>
    <col min="12" max="12" width="13" style="76" bestFit="1" customWidth="1"/>
    <col min="13" max="13" width="15.28515625" style="76" customWidth="1"/>
    <col min="14" max="15" width="0" style="75" hidden="1" customWidth="1"/>
    <col min="16" max="16" width="10.85546875" style="75" hidden="1" customWidth="1"/>
    <col min="17" max="20" width="0" style="75" hidden="1" customWidth="1"/>
    <col min="21" max="21" width="11.42578125" style="75"/>
    <col min="22" max="22" width="0" style="75" hidden="1" customWidth="1"/>
    <col min="23" max="16384" width="11.42578125" style="75"/>
  </cols>
  <sheetData>
    <row r="1" spans="2:49" s="73" customFormat="1" ht="17.100000000000001" customHeight="1">
      <c r="B1" s="242" t="s">
        <v>71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2:49" s="73" customFormat="1" ht="17.100000000000001" customHeight="1" thickBot="1">
      <c r="B2" s="214" t="s">
        <v>220</v>
      </c>
      <c r="C2" s="78"/>
      <c r="D2" s="78"/>
      <c r="E2" s="78"/>
      <c r="F2" s="78"/>
      <c r="G2" s="80" t="s">
        <v>7</v>
      </c>
      <c r="H2" s="78"/>
      <c r="I2" s="78"/>
      <c r="J2" s="78"/>
      <c r="K2" s="78"/>
      <c r="L2" s="78"/>
      <c r="M2" s="78"/>
    </row>
    <row r="3" spans="2:49" s="73" customFormat="1" ht="30" customHeight="1" thickBot="1">
      <c r="B3" s="82" t="s">
        <v>4</v>
      </c>
      <c r="C3" s="83" t="s">
        <v>72</v>
      </c>
      <c r="D3" s="83" t="s">
        <v>100</v>
      </c>
      <c r="E3" s="83" t="s">
        <v>82</v>
      </c>
      <c r="F3" s="83" t="s">
        <v>83</v>
      </c>
      <c r="G3" s="83" t="s">
        <v>20</v>
      </c>
      <c r="H3" s="83" t="s">
        <v>90</v>
      </c>
      <c r="I3" s="83" t="s">
        <v>3</v>
      </c>
      <c r="J3" s="83" t="s">
        <v>193</v>
      </c>
      <c r="K3" s="83" t="s">
        <v>17</v>
      </c>
      <c r="L3" s="83" t="s">
        <v>78</v>
      </c>
      <c r="M3" s="83" t="s">
        <v>0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</row>
    <row r="4" spans="2:49" s="73" customFormat="1" ht="17.100000000000001" customHeight="1">
      <c r="B4" s="192" t="s">
        <v>8</v>
      </c>
      <c r="C4" s="191">
        <v>200</v>
      </c>
      <c r="D4" s="191">
        <v>200</v>
      </c>
      <c r="E4" s="191">
        <v>190</v>
      </c>
      <c r="F4" s="191">
        <v>200</v>
      </c>
      <c r="G4" s="31"/>
      <c r="H4" s="31"/>
      <c r="I4" s="31"/>
      <c r="J4" s="31"/>
      <c r="K4" s="31"/>
      <c r="L4" s="31"/>
      <c r="M4" s="89">
        <f>SUM(C4:I4)</f>
        <v>790</v>
      </c>
    </row>
    <row r="5" spans="2:49" s="73" customFormat="1" ht="17.100000000000001" customHeight="1">
      <c r="B5" s="160" t="s">
        <v>9</v>
      </c>
      <c r="C5" s="48">
        <f>'HCP Primer Sem.'!C33</f>
        <v>1386445</v>
      </c>
      <c r="D5" s="48">
        <f>'HCP Primer Sem.'!D33</f>
        <v>965201.25000000012</v>
      </c>
      <c r="E5" s="48">
        <f>'HCP Primer Sem.'!C30</f>
        <v>526849.10000000009</v>
      </c>
      <c r="F5" s="48">
        <f>'HCP Primer Sem.'!D30</f>
        <v>386080.5</v>
      </c>
      <c r="G5" s="32"/>
      <c r="H5" s="48"/>
      <c r="I5" s="32"/>
      <c r="J5" s="32"/>
      <c r="K5" s="32"/>
      <c r="L5" s="32"/>
      <c r="M5" s="32">
        <f>SUM(C5:I5)</f>
        <v>3264575.85</v>
      </c>
    </row>
    <row r="6" spans="2:49" s="73" customFormat="1" ht="17.100000000000001" customHeight="1">
      <c r="B6" s="85" t="s">
        <v>10</v>
      </c>
      <c r="C6" s="47">
        <f t="shared" ref="C6:I6" si="0">SUM(C7:C10)</f>
        <v>44369.576379974329</v>
      </c>
      <c r="D6" s="47">
        <f>+D7+D8+D9</f>
        <v>44369.576379974329</v>
      </c>
      <c r="E6" s="47">
        <f>+E7+E8+E9</f>
        <v>101848.01026957638</v>
      </c>
      <c r="F6" s="47">
        <f>+F7+F8+F9</f>
        <v>102412.83697047496</v>
      </c>
      <c r="G6" s="47">
        <f t="shared" si="0"/>
        <v>0</v>
      </c>
      <c r="H6" s="47">
        <f t="shared" si="0"/>
        <v>16500</v>
      </c>
      <c r="I6" s="47">
        <f t="shared" si="0"/>
        <v>0</v>
      </c>
      <c r="J6" s="47"/>
      <c r="K6" s="47">
        <f>SUM(K7:K10)</f>
        <v>-309500</v>
      </c>
      <c r="L6" s="47">
        <f>SUM(L7:L10)</f>
        <v>0</v>
      </c>
      <c r="M6" s="47">
        <f>SUM(M7:M10)</f>
        <v>309500</v>
      </c>
    </row>
    <row r="7" spans="2:49" s="73" customFormat="1" ht="17.100000000000001" customHeight="1">
      <c r="B7" s="37" t="s">
        <v>11</v>
      </c>
      <c r="C7" s="91">
        <v>16500</v>
      </c>
      <c r="D7" s="91">
        <v>16500</v>
      </c>
      <c r="E7" s="91">
        <v>66000</v>
      </c>
      <c r="F7" s="91">
        <v>66000</v>
      </c>
      <c r="G7" s="91"/>
      <c r="H7" s="91"/>
      <c r="I7" s="91"/>
      <c r="J7" s="136"/>
      <c r="K7" s="96">
        <f>-M7</f>
        <v>-165000</v>
      </c>
      <c r="L7" s="88"/>
      <c r="M7" s="91">
        <f>SUM(C7:I7)</f>
        <v>165000</v>
      </c>
      <c r="N7" s="73">
        <f>+C7+D7+E7+F7+G7+H7</f>
        <v>165000</v>
      </c>
    </row>
    <row r="8" spans="2:49" s="73" customFormat="1" ht="17.100000000000001" customHeight="1">
      <c r="B8" s="37" t="s">
        <v>85</v>
      </c>
      <c r="C8" s="91">
        <f>'Anexos Segundo Sem.'!D22</f>
        <v>10269.576379974325</v>
      </c>
      <c r="D8" s="91">
        <f>'Anexos Segundo Sem.'!D23</f>
        <v>10269.576379974325</v>
      </c>
      <c r="E8" s="91">
        <f>'Anexos Segundo Sem.'!D24</f>
        <v>9448.0102695763799</v>
      </c>
      <c r="F8" s="91">
        <f>'Anexos Segundo Sem.'!D25</f>
        <v>10012.836970474968</v>
      </c>
      <c r="G8" s="91"/>
      <c r="H8" s="91"/>
      <c r="I8" s="91"/>
      <c r="J8" s="91"/>
      <c r="K8" s="91">
        <f>M8*-1</f>
        <v>-40000</v>
      </c>
      <c r="L8" s="91"/>
      <c r="M8" s="32">
        <f>SUM(C8:H8)</f>
        <v>40000</v>
      </c>
      <c r="N8" s="73">
        <f t="shared" ref="N8:N29" si="1">+C8+D8+E8+F8+G8+H8</f>
        <v>40000</v>
      </c>
    </row>
    <row r="9" spans="2:49" s="73" customFormat="1" ht="17.100000000000001" customHeight="1">
      <c r="B9" s="37" t="s">
        <v>87</v>
      </c>
      <c r="C9" s="91">
        <f>'Anexos Segundo Sem.'!D32</f>
        <v>17600</v>
      </c>
      <c r="D9" s="91">
        <f>'Anexos Segundo Sem.'!D33</f>
        <v>17600</v>
      </c>
      <c r="E9" s="91">
        <f>'Anexos Segundo Sem.'!D34</f>
        <v>26400</v>
      </c>
      <c r="F9" s="91">
        <f>'Anexos Segundo Sem.'!D35</f>
        <v>26400</v>
      </c>
      <c r="G9" s="91"/>
      <c r="H9" s="91"/>
      <c r="I9" s="91"/>
      <c r="J9" s="91"/>
      <c r="K9" s="91">
        <f>-M9</f>
        <v>-88000</v>
      </c>
      <c r="L9" s="91"/>
      <c r="M9" s="32">
        <f>SUM(C9:F9)</f>
        <v>88000</v>
      </c>
      <c r="N9" s="73">
        <f t="shared" si="1"/>
        <v>88000</v>
      </c>
    </row>
    <row r="10" spans="2:49" s="73" customFormat="1" ht="17.100000000000001" customHeight="1" thickBot="1">
      <c r="B10" s="37" t="s">
        <v>88</v>
      </c>
      <c r="C10" s="33"/>
      <c r="D10" s="33"/>
      <c r="E10" s="33"/>
      <c r="F10" s="33"/>
      <c r="G10" s="33"/>
      <c r="H10" s="33">
        <v>16500</v>
      </c>
      <c r="I10" s="33"/>
      <c r="J10" s="33"/>
      <c r="K10" s="33">
        <v>-16500</v>
      </c>
      <c r="L10" s="33"/>
      <c r="M10" s="33">
        <f>SUM(C10:I10)</f>
        <v>16500</v>
      </c>
      <c r="R10" s="73">
        <f>+C10+D10+E10+F10+G10+H10</f>
        <v>16500</v>
      </c>
    </row>
    <row r="11" spans="2:49" s="73" customFormat="1" ht="17.100000000000001" customHeight="1">
      <c r="B11" s="85" t="s">
        <v>202</v>
      </c>
      <c r="C11" s="47">
        <f>+C16+C17+C18+C19</f>
        <v>41600</v>
      </c>
      <c r="D11" s="47">
        <f>+D16+D17+D18+D19</f>
        <v>41600</v>
      </c>
      <c r="E11" s="47">
        <f t="shared" ref="E11:I11" ca="1" si="2">SUM(E11:E19)</f>
        <v>60799.999999999993</v>
      </c>
      <c r="F11" s="47">
        <f t="shared" ca="1" si="2"/>
        <v>64000.000000000007</v>
      </c>
      <c r="G11" s="47">
        <f t="shared" ca="1" si="2"/>
        <v>0</v>
      </c>
      <c r="H11" s="47">
        <f t="shared" ca="1" si="2"/>
        <v>52000</v>
      </c>
      <c r="I11" s="47">
        <f t="shared" ca="1" si="2"/>
        <v>0</v>
      </c>
      <c r="J11" s="47"/>
      <c r="K11" s="47">
        <f ca="1">SUM(K11:K19)</f>
        <v>-260000</v>
      </c>
      <c r="L11" s="47">
        <f ca="1">SUM(L11:L17)</f>
        <v>0</v>
      </c>
      <c r="M11" s="47">
        <f ca="1">SUM(M11:M17)+M18+M19</f>
        <v>260000</v>
      </c>
    </row>
    <row r="12" spans="2:49" s="73" customFormat="1" ht="17.100000000000001" customHeight="1">
      <c r="B12" s="37" t="s">
        <v>98</v>
      </c>
      <c r="C12" s="32"/>
      <c r="D12" s="32"/>
      <c r="E12" s="32"/>
      <c r="F12" s="32"/>
      <c r="G12" s="32"/>
      <c r="H12" s="32">
        <f>'Anexos Segundo Sem.'!C16</f>
        <v>30000</v>
      </c>
      <c r="I12" s="32"/>
      <c r="J12" s="32"/>
      <c r="K12" s="32">
        <f>M12*-1</f>
        <v>-30000</v>
      </c>
      <c r="L12" s="32"/>
      <c r="M12" s="32">
        <f t="shared" ref="M12:M19" si="3">SUM(C12:I12)</f>
        <v>30000</v>
      </c>
      <c r="R12" s="73">
        <f>+C12+D12+E12+F12+G12+H12</f>
        <v>30000</v>
      </c>
    </row>
    <row r="13" spans="2:49" s="73" customFormat="1" ht="17.100000000000001" customHeight="1">
      <c r="B13" s="37" t="s">
        <v>19</v>
      </c>
      <c r="C13" s="32"/>
      <c r="D13" s="32"/>
      <c r="E13" s="32"/>
      <c r="F13" s="32"/>
      <c r="G13" s="32"/>
      <c r="H13" s="32">
        <f>'Anexos Segundo Sem.'!G16</f>
        <v>10000</v>
      </c>
      <c r="I13" s="32"/>
      <c r="J13" s="32"/>
      <c r="K13" s="32">
        <f t="shared" ref="K13:K19" si="4">M13*-1</f>
        <v>-10000</v>
      </c>
      <c r="L13" s="32"/>
      <c r="M13" s="32">
        <f t="shared" si="3"/>
        <v>10000</v>
      </c>
      <c r="R13" s="73">
        <f>+C13+D13+E13+F13+G13+H13</f>
        <v>10000</v>
      </c>
    </row>
    <row r="14" spans="2:49" s="73" customFormat="1" ht="17.100000000000001" customHeight="1">
      <c r="B14" s="37" t="s">
        <v>137</v>
      </c>
      <c r="C14" s="32"/>
      <c r="D14" s="32"/>
      <c r="E14" s="32"/>
      <c r="F14" s="32"/>
      <c r="G14" s="32"/>
      <c r="H14" s="32">
        <f>H12*10%</f>
        <v>3000</v>
      </c>
      <c r="I14" s="32"/>
      <c r="J14" s="32"/>
      <c r="K14" s="32">
        <f t="shared" si="4"/>
        <v>-3000</v>
      </c>
      <c r="L14" s="32"/>
      <c r="M14" s="32">
        <f t="shared" si="3"/>
        <v>3000</v>
      </c>
      <c r="R14" s="73">
        <f>+C14+D14+E14+F14+G14+H14</f>
        <v>3000</v>
      </c>
    </row>
    <row r="15" spans="2:49" s="73" customFormat="1" ht="17.100000000000001" customHeight="1">
      <c r="B15" s="37" t="s">
        <v>138</v>
      </c>
      <c r="C15" s="32"/>
      <c r="D15" s="32"/>
      <c r="E15" s="32"/>
      <c r="F15" s="32"/>
      <c r="G15" s="32"/>
      <c r="H15" s="32">
        <f>H12*30%</f>
        <v>9000</v>
      </c>
      <c r="I15" s="32"/>
      <c r="J15" s="32"/>
      <c r="K15" s="32">
        <f t="shared" si="4"/>
        <v>-9000</v>
      </c>
      <c r="L15" s="32"/>
      <c r="M15" s="32">
        <f t="shared" si="3"/>
        <v>9000</v>
      </c>
      <c r="R15" s="73">
        <f>+C15+D15+E15+F15+G15+H15</f>
        <v>9000</v>
      </c>
    </row>
    <row r="16" spans="2:49" s="73" customFormat="1" ht="17.100000000000001" customHeight="1">
      <c r="B16" s="37" t="s">
        <v>21</v>
      </c>
      <c r="C16" s="32">
        <f>'Anexos Segundo Sem.'!D11</f>
        <v>24000</v>
      </c>
      <c r="D16" s="32">
        <f>'Anexos Segundo Sem.'!D12</f>
        <v>24000</v>
      </c>
      <c r="E16" s="32">
        <f>'Anexos Segundo Sem.'!D8</f>
        <v>35076.923076923078</v>
      </c>
      <c r="F16" s="32">
        <f>'Anexos Segundo Sem.'!D9</f>
        <v>36923.076923076922</v>
      </c>
      <c r="G16" s="32"/>
      <c r="H16" s="32"/>
      <c r="I16" s="32"/>
      <c r="J16" s="32"/>
      <c r="K16" s="32">
        <f t="shared" si="4"/>
        <v>-120000</v>
      </c>
      <c r="L16" s="32"/>
      <c r="M16" s="32">
        <f t="shared" si="3"/>
        <v>120000</v>
      </c>
      <c r="N16" s="73">
        <f t="shared" si="1"/>
        <v>120000</v>
      </c>
    </row>
    <row r="17" spans="2:18" s="73" customFormat="1" ht="17.100000000000001" customHeight="1">
      <c r="B17" s="37" t="s">
        <v>19</v>
      </c>
      <c r="C17" s="32">
        <f>'Anexos Segundo Sem.'!H11</f>
        <v>8000</v>
      </c>
      <c r="D17" s="32">
        <f>'Anexos Segundo Sem.'!H12</f>
        <v>8000</v>
      </c>
      <c r="E17" s="32">
        <f>'Anexos Segundo Sem.'!H8</f>
        <v>11692.307692307691</v>
      </c>
      <c r="F17" s="32">
        <f>'Anexos Segundo Sem.'!H9</f>
        <v>12307.692307692309</v>
      </c>
      <c r="G17" s="32"/>
      <c r="H17" s="32"/>
      <c r="I17" s="32"/>
      <c r="J17" s="32"/>
      <c r="K17" s="32">
        <f t="shared" si="4"/>
        <v>-40000</v>
      </c>
      <c r="L17" s="32"/>
      <c r="M17" s="32">
        <f t="shared" si="3"/>
        <v>40000</v>
      </c>
      <c r="N17" s="73">
        <f t="shared" si="1"/>
        <v>40000</v>
      </c>
    </row>
    <row r="18" spans="2:18" s="73" customFormat="1" ht="17.100000000000001" customHeight="1">
      <c r="B18" s="37" t="s">
        <v>137</v>
      </c>
      <c r="C18" s="32">
        <f>C16*10%</f>
        <v>2400</v>
      </c>
      <c r="D18" s="32">
        <f>D16*10%</f>
        <v>2400</v>
      </c>
      <c r="E18" s="32">
        <f>E16*10%</f>
        <v>3507.6923076923081</v>
      </c>
      <c r="F18" s="32">
        <f>F16*10%</f>
        <v>3692.3076923076924</v>
      </c>
      <c r="G18" s="32"/>
      <c r="H18" s="32"/>
      <c r="I18" s="32"/>
      <c r="J18" s="32"/>
      <c r="K18" s="32">
        <f t="shared" si="4"/>
        <v>-12000</v>
      </c>
      <c r="L18" s="32"/>
      <c r="M18" s="32">
        <f t="shared" si="3"/>
        <v>12000</v>
      </c>
      <c r="N18" s="73">
        <f t="shared" si="1"/>
        <v>12000</v>
      </c>
      <c r="O18" s="73">
        <v>44369.58</v>
      </c>
    </row>
    <row r="19" spans="2:18" s="73" customFormat="1" ht="17.100000000000001" customHeight="1">
      <c r="B19" s="37" t="s">
        <v>138</v>
      </c>
      <c r="C19" s="32">
        <f>C16*30%</f>
        <v>7200</v>
      </c>
      <c r="D19" s="32">
        <f>D16*30%</f>
        <v>7200</v>
      </c>
      <c r="E19" s="32">
        <f>E16*30%</f>
        <v>10523.076923076924</v>
      </c>
      <c r="F19" s="32">
        <f>F16*30%</f>
        <v>11076.923076923076</v>
      </c>
      <c r="G19" s="37"/>
      <c r="H19" s="32"/>
      <c r="I19" s="32"/>
      <c r="J19" s="32"/>
      <c r="K19" s="32">
        <f t="shared" si="4"/>
        <v>-36000</v>
      </c>
      <c r="L19" s="32"/>
      <c r="M19" s="32">
        <f t="shared" si="3"/>
        <v>36000</v>
      </c>
      <c r="N19" s="73">
        <f t="shared" si="1"/>
        <v>36000</v>
      </c>
      <c r="O19" s="73">
        <v>41600</v>
      </c>
      <c r="P19" s="111"/>
      <c r="Q19" s="111"/>
      <c r="R19" s="111"/>
    </row>
    <row r="20" spans="2:18" s="73" customFormat="1" ht="17.100000000000001" customHeight="1">
      <c r="B20" s="85" t="s">
        <v>139</v>
      </c>
      <c r="C20" s="47">
        <f>+C21+C22+C23+C24+C25+C26+C27+C28+C29+C30</f>
        <v>155297.65822784809</v>
      </c>
      <c r="D20" s="224">
        <f>+D21+D22+D23+D24+D25+D26+D27+D28+D29+D30</f>
        <v>109053.90822784809</v>
      </c>
      <c r="E20" s="224">
        <f>+E21+E22+E23+E24+E25+E26+E27+E28+E29+E30</f>
        <v>55622.025316455693</v>
      </c>
      <c r="F20" s="224">
        <f>+F21+F22+F23+F24+F25+F26+F27+F28+F29+F30</f>
        <v>55672.6582278481</v>
      </c>
      <c r="G20" s="47">
        <f>+G21+G22+G23+G24+G30+G32</f>
        <v>36779.111499999999</v>
      </c>
      <c r="H20" s="47">
        <f>SUM(H21:H30)</f>
        <v>25250</v>
      </c>
      <c r="I20" s="224">
        <f t="shared" ref="I20" si="5">SUM(I25:I30)</f>
        <v>0</v>
      </c>
      <c r="J20" s="31"/>
      <c r="K20" s="224">
        <f>SUM(K21:K32)</f>
        <v>-160050</v>
      </c>
      <c r="L20" s="31"/>
      <c r="M20" s="31"/>
      <c r="O20" s="73">
        <v>142137.66</v>
      </c>
    </row>
    <row r="21" spans="2:18" s="73" customFormat="1" ht="17.100000000000001" customHeight="1">
      <c r="B21" s="37" t="s">
        <v>18</v>
      </c>
      <c r="C21" s="32">
        <f>44000*20/100</f>
        <v>8800</v>
      </c>
      <c r="D21" s="32">
        <f>44000*20/100</f>
        <v>8800</v>
      </c>
      <c r="E21" s="32">
        <f>44000*20/100</f>
        <v>8800</v>
      </c>
      <c r="F21" s="32">
        <f>44000*20/100</f>
        <v>8800</v>
      </c>
      <c r="G21" s="32">
        <f>44000*20/100</f>
        <v>8800</v>
      </c>
      <c r="H21" s="32"/>
      <c r="I21" s="32"/>
      <c r="J21" s="32"/>
      <c r="K21" s="32">
        <v>-44000</v>
      </c>
      <c r="L21" s="32"/>
      <c r="M21" s="32">
        <f t="shared" ref="M21:M26" si="6">SUM(C21:I21)</f>
        <v>44000</v>
      </c>
      <c r="N21" s="73">
        <f t="shared" si="1"/>
        <v>44000</v>
      </c>
      <c r="O21" s="225">
        <f>+O18+O19+O20</f>
        <v>228107.24</v>
      </c>
    </row>
    <row r="22" spans="2:18" s="73" customFormat="1" ht="17.100000000000001" customHeight="1">
      <c r="B22" s="37" t="s">
        <v>19</v>
      </c>
      <c r="C22" s="32">
        <f>4200/5</f>
        <v>840</v>
      </c>
      <c r="D22" s="32">
        <v>840</v>
      </c>
      <c r="E22" s="32">
        <v>840</v>
      </c>
      <c r="F22" s="32">
        <v>840</v>
      </c>
      <c r="G22" s="32">
        <f>(4200*20%)</f>
        <v>840</v>
      </c>
      <c r="H22" s="32"/>
      <c r="I22" s="32"/>
      <c r="J22" s="32"/>
      <c r="K22" s="32">
        <v>-4200</v>
      </c>
      <c r="L22" s="32"/>
      <c r="M22" s="32">
        <f t="shared" si="6"/>
        <v>4200</v>
      </c>
      <c r="N22" s="73">
        <f t="shared" si="1"/>
        <v>4200</v>
      </c>
    </row>
    <row r="23" spans="2:18" s="73" customFormat="1" ht="17.100000000000001" customHeight="1">
      <c r="B23" s="37" t="s">
        <v>137</v>
      </c>
      <c r="C23" s="32">
        <f>C21*10%</f>
        <v>880</v>
      </c>
      <c r="D23" s="32">
        <f>D21*10%</f>
        <v>880</v>
      </c>
      <c r="E23" s="32">
        <f>E21*10%</f>
        <v>880</v>
      </c>
      <c r="F23" s="32">
        <f>F21*10%</f>
        <v>880</v>
      </c>
      <c r="G23" s="32">
        <f>G21*10%</f>
        <v>880</v>
      </c>
      <c r="H23" s="32"/>
      <c r="I23" s="32"/>
      <c r="J23" s="32"/>
      <c r="K23" s="32">
        <f>M23*-1</f>
        <v>-4400</v>
      </c>
      <c r="L23" s="32"/>
      <c r="M23" s="32">
        <f t="shared" si="6"/>
        <v>4400</v>
      </c>
      <c r="N23" s="73">
        <f t="shared" si="1"/>
        <v>4400</v>
      </c>
    </row>
    <row r="24" spans="2:18" s="73" customFormat="1" ht="17.100000000000001" customHeight="1">
      <c r="B24" s="37" t="s">
        <v>138</v>
      </c>
      <c r="C24" s="32">
        <f>C21*30%</f>
        <v>2640</v>
      </c>
      <c r="D24" s="32">
        <f>D21*30%</f>
        <v>2640</v>
      </c>
      <c r="E24" s="32">
        <f>E21*30%</f>
        <v>2640</v>
      </c>
      <c r="F24" s="32">
        <f>F21*30%</f>
        <v>2640</v>
      </c>
      <c r="G24" s="32">
        <f>G21*30%</f>
        <v>2640</v>
      </c>
      <c r="H24" s="32"/>
      <c r="I24" s="32"/>
      <c r="J24" s="32"/>
      <c r="K24" s="32">
        <f>M24*-1</f>
        <v>-13200</v>
      </c>
      <c r="L24" s="32"/>
      <c r="M24" s="32">
        <f t="shared" si="6"/>
        <v>13200</v>
      </c>
      <c r="N24" s="73">
        <f t="shared" si="1"/>
        <v>13200</v>
      </c>
      <c r="O24" s="73">
        <f>+D7+D8+D9+D16+D17+D18+D19+D21+D22+D23+D24+D25+D26+D27+D29+D30</f>
        <v>195023.48460782244</v>
      </c>
    </row>
    <row r="25" spans="2:18" s="73" customFormat="1" ht="17.100000000000001" customHeight="1">
      <c r="B25" s="37" t="s">
        <v>22</v>
      </c>
      <c r="C25" s="32">
        <f>60000*40/100/2</f>
        <v>12000</v>
      </c>
      <c r="D25" s="32">
        <f>60000*40/100/2</f>
        <v>12000</v>
      </c>
      <c r="E25" s="32">
        <f>60000*60/100/2</f>
        <v>18000</v>
      </c>
      <c r="F25" s="32">
        <f>60000*60/100/2</f>
        <v>18000</v>
      </c>
      <c r="G25" s="32"/>
      <c r="H25" s="32"/>
      <c r="I25" s="32"/>
      <c r="J25" s="32"/>
      <c r="K25" s="32">
        <v>-60000</v>
      </c>
      <c r="L25" s="32"/>
      <c r="M25" s="32">
        <f t="shared" si="6"/>
        <v>60000</v>
      </c>
      <c r="N25" s="73">
        <f t="shared" si="1"/>
        <v>60000</v>
      </c>
    </row>
    <row r="26" spans="2:18" s="73" customFormat="1" ht="17.100000000000001" customHeight="1">
      <c r="B26" s="37" t="s">
        <v>23</v>
      </c>
      <c r="C26" s="32">
        <f>65000*30/100/2</f>
        <v>9750</v>
      </c>
      <c r="D26" s="32">
        <f>65000*30/100/2</f>
        <v>9750</v>
      </c>
      <c r="E26" s="32">
        <f>65000*70/100/2</f>
        <v>22750</v>
      </c>
      <c r="F26" s="32">
        <f>65000*70/100/2</f>
        <v>22750</v>
      </c>
      <c r="G26" s="32"/>
      <c r="H26" s="32"/>
      <c r="I26" s="32"/>
      <c r="J26" s="32"/>
      <c r="K26" s="32"/>
      <c r="L26" s="32"/>
      <c r="M26" s="32">
        <f t="shared" si="6"/>
        <v>65000</v>
      </c>
    </row>
    <row r="27" spans="2:18" s="73" customFormat="1" ht="17.100000000000001" customHeight="1">
      <c r="B27" s="37" t="s">
        <v>140</v>
      </c>
      <c r="C27" s="91">
        <f>8250/2</f>
        <v>4125</v>
      </c>
      <c r="D27" s="91">
        <f>8250/2</f>
        <v>4125</v>
      </c>
      <c r="E27" s="91"/>
      <c r="F27" s="91"/>
      <c r="G27" s="91"/>
      <c r="H27" s="91"/>
      <c r="I27" s="91"/>
      <c r="J27" s="91"/>
      <c r="K27" s="91">
        <f>-M27</f>
        <v>-8250</v>
      </c>
      <c r="L27" s="91"/>
      <c r="M27" s="32">
        <f>SUM(C27:D27)</f>
        <v>8250</v>
      </c>
      <c r="N27" s="73">
        <f t="shared" si="1"/>
        <v>8250</v>
      </c>
    </row>
    <row r="28" spans="2:18" s="73" customFormat="1" ht="17.100000000000001" customHeight="1">
      <c r="B28" s="37" t="s">
        <v>89</v>
      </c>
      <c r="C28" s="91"/>
      <c r="D28" s="91"/>
      <c r="E28" s="91"/>
      <c r="F28" s="91"/>
      <c r="G28" s="91"/>
      <c r="H28" s="91">
        <v>22000</v>
      </c>
      <c r="I28" s="91"/>
      <c r="J28" s="91"/>
      <c r="K28" s="91">
        <v>-22000</v>
      </c>
      <c r="L28" s="91"/>
      <c r="M28" s="32">
        <f>SUM(C28:I28)</f>
        <v>22000</v>
      </c>
      <c r="R28" s="73">
        <f>+C28+D28+E28+F28+G28+H28</f>
        <v>22000</v>
      </c>
    </row>
    <row r="29" spans="2:18" s="73" customFormat="1" ht="17.100000000000001" customHeight="1">
      <c r="B29" s="37" t="s">
        <v>92</v>
      </c>
      <c r="C29" s="91">
        <f>'Anexos Segundo Sem.'!D40</f>
        <v>1012.6582278481013</v>
      </c>
      <c r="D29" s="91">
        <f>'Anexos Segundo Sem.'!D41</f>
        <v>1012.6582278481013</v>
      </c>
      <c r="E29" s="91">
        <f>'Anexos Segundo Sem.'!D42</f>
        <v>962.02531645569616</v>
      </c>
      <c r="F29" s="91">
        <f>'Anexos Segundo Sem.'!D43</f>
        <v>1012.6582278481013</v>
      </c>
      <c r="G29" s="91"/>
      <c r="H29" s="91"/>
      <c r="I29" s="91"/>
      <c r="J29" s="91"/>
      <c r="K29" s="91">
        <v>-4000</v>
      </c>
      <c r="L29" s="91"/>
      <c r="M29" s="32">
        <f>SUM(C29:G29)</f>
        <v>4000.0000000000005</v>
      </c>
      <c r="N29" s="73">
        <f t="shared" si="1"/>
        <v>4000.0000000000005</v>
      </c>
    </row>
    <row r="30" spans="2:18" s="73" customFormat="1" ht="17.100000000000001" customHeight="1">
      <c r="B30" s="95" t="s">
        <v>24</v>
      </c>
      <c r="C30" s="32">
        <f>'Depre. Segundo Sem.'!F19</f>
        <v>115250</v>
      </c>
      <c r="D30" s="32">
        <f>'Depre. Segundo Sem.'!G19</f>
        <v>69006.25</v>
      </c>
      <c r="E30" s="32">
        <f>'Depre. Segundo Sem.'!H19</f>
        <v>750</v>
      </c>
      <c r="F30" s="32">
        <f>'Depre. Segundo Sem.'!I19</f>
        <v>750</v>
      </c>
      <c r="G30" s="32">
        <f>'Depre. Segundo Sem.'!K19</f>
        <v>11555.75</v>
      </c>
      <c r="H30" s="32">
        <f>'Depre. Segundo Sem.'!J19</f>
        <v>3250</v>
      </c>
      <c r="I30" s="32"/>
      <c r="J30" s="32"/>
      <c r="K30" s="32"/>
      <c r="L30" s="32">
        <f>SUM(C30:H30)*-1</f>
        <v>-200562</v>
      </c>
      <c r="M30" s="32">
        <f>SUM(C30:I30)</f>
        <v>200562</v>
      </c>
      <c r="R30" s="73">
        <f>+H30</f>
        <v>3250</v>
      </c>
    </row>
    <row r="31" spans="2:18" s="73" customFormat="1" ht="17.100000000000001" customHeight="1">
      <c r="B31" s="221" t="s">
        <v>97</v>
      </c>
      <c r="C31" s="222">
        <v>-241267.23</v>
      </c>
      <c r="D31" s="222"/>
      <c r="E31" s="222"/>
      <c r="F31" s="222"/>
      <c r="G31" s="222"/>
      <c r="H31" s="222">
        <v>241267.23</v>
      </c>
      <c r="I31" s="133"/>
      <c r="J31" s="133"/>
      <c r="K31" s="133"/>
      <c r="L31" s="133"/>
      <c r="M31" s="133"/>
      <c r="R31" s="73">
        <v>241267.23</v>
      </c>
    </row>
    <row r="32" spans="2:18" s="73" customFormat="1" ht="17.100000000000001" customHeight="1" thickBot="1">
      <c r="B32" s="37" t="s">
        <v>96</v>
      </c>
      <c r="C32" s="33"/>
      <c r="D32" s="33"/>
      <c r="E32" s="33">
        <f>'Anexos Segundo Sem.'!G50</f>
        <v>36190.084500000004</v>
      </c>
      <c r="F32" s="33">
        <f>'Anexos Segundo Sem.'!G51</f>
        <v>36190.084500000004</v>
      </c>
      <c r="G32" s="33">
        <f>'Anexos Segundo Sem.'!G52</f>
        <v>12063.361500000001</v>
      </c>
      <c r="H32" s="33">
        <f>SUM(E32:G32)*-1</f>
        <v>-84443.530500000008</v>
      </c>
      <c r="I32" s="33"/>
      <c r="J32" s="33"/>
      <c r="K32" s="33"/>
      <c r="L32" s="33"/>
      <c r="M32" s="33"/>
      <c r="O32" s="73">
        <f>+E32/2</f>
        <v>18095.042250000002</v>
      </c>
      <c r="P32" s="73">
        <f>+F32/2</f>
        <v>18095.042250000002</v>
      </c>
      <c r="R32" s="73">
        <v>-84443.53</v>
      </c>
    </row>
    <row r="33" spans="2:22" s="73" customFormat="1" ht="17.100000000000001" hidden="1" customHeight="1">
      <c r="B33" s="37"/>
      <c r="C33" s="133">
        <f>+C6+C11+C20+C31</f>
        <v>4.6078224258963019E-3</v>
      </c>
      <c r="D33" s="133">
        <f>+D6+D11+D20</f>
        <v>195023.48460782244</v>
      </c>
      <c r="E33" s="133">
        <f>101848.01+60800+55622.03+36190</f>
        <v>254460.04</v>
      </c>
      <c r="F33" s="133">
        <f>+F7+F8+F9+F16+F17+F18+F19+F21+F22+F23+F24+F25+F26+F29+F30+F32</f>
        <v>258275.57969832304</v>
      </c>
      <c r="G33" s="133">
        <f>+G21+G22+G23+G24+G30+G32</f>
        <v>36779.111499999999</v>
      </c>
      <c r="H33" s="133">
        <f>+H10+H12+H13+H14+H15+H28+H30+H31+H32</f>
        <v>250573.69949999999</v>
      </c>
      <c r="I33" s="133"/>
      <c r="J33" s="133"/>
      <c r="K33" s="133">
        <f>+K7+K8+K9+K10+K12+K13+K14+K15+K16+K17+K18+K19+K21+K22+K23+K24+K25+K27+K28+K29</f>
        <v>-729550</v>
      </c>
      <c r="L33" s="133">
        <f>+L30</f>
        <v>-200562</v>
      </c>
      <c r="M33" s="133"/>
    </row>
    <row r="34" spans="2:22" s="73" customFormat="1" ht="17.100000000000001" customHeight="1">
      <c r="B34" s="219" t="s">
        <v>222</v>
      </c>
      <c r="C34" s="220">
        <f>C6+C11+C20+C31</f>
        <v>4.6078224258963019E-3</v>
      </c>
      <c r="D34" s="220">
        <f>D20+D11+D6</f>
        <v>195023.48460782244</v>
      </c>
      <c r="E34" s="220">
        <f>+E7+E8+E9+E16+E17+E18+E19+E21+E22+E23+E24+E25+E26+E27+E28+E29+E30+E32</f>
        <v>254460.12008603208</v>
      </c>
      <c r="F34" s="220">
        <f>+F7+F8+F9+F16+F17+F18+F19+F21+F22+F23+F24+F25+F26+F27+F28+F29+F30+F32</f>
        <v>258275.57969832304</v>
      </c>
      <c r="G34" s="220">
        <f>+G21+G22+G23+G24+G30+G32</f>
        <v>36779.111499999999</v>
      </c>
      <c r="H34" s="220">
        <f>+H10+H12+H13+H14+H15+H28+H30+H31+H32</f>
        <v>250573.69949999999</v>
      </c>
      <c r="I34" s="47">
        <f>SUM(I20:I32)</f>
        <v>0</v>
      </c>
      <c r="J34" s="47"/>
      <c r="K34" s="224">
        <v>-729550</v>
      </c>
      <c r="L34" s="47">
        <f>SUM(L20:L32)</f>
        <v>-200562</v>
      </c>
      <c r="M34" s="47">
        <f>SUM(M20:M32)</f>
        <v>425612</v>
      </c>
      <c r="N34" s="73">
        <f>SUM(N7:N29)</f>
        <v>639050</v>
      </c>
      <c r="O34" s="73">
        <v>239326.12</v>
      </c>
      <c r="P34" s="73">
        <v>243141.58</v>
      </c>
      <c r="R34" s="73">
        <f>SUM(R6:R32)</f>
        <v>250573.69999999998</v>
      </c>
      <c r="S34" s="73">
        <f>+R34-H34</f>
        <v>4.999999946448952E-4</v>
      </c>
      <c r="V34" s="73">
        <v>241267.23</v>
      </c>
    </row>
    <row r="35" spans="2:22" s="73" customFormat="1" ht="17.100000000000001" customHeight="1">
      <c r="B35" s="218" t="s">
        <v>219</v>
      </c>
      <c r="C35" s="217">
        <f>C34+C5</f>
        <v>1386445.0046078225</v>
      </c>
      <c r="D35" s="217">
        <f>D34+D5</f>
        <v>1160224.7346078225</v>
      </c>
      <c r="E35" s="217">
        <f>E34+E5</f>
        <v>781309.22008603218</v>
      </c>
      <c r="F35" s="217">
        <f>SUM(F34+F5)</f>
        <v>644356.07969832304</v>
      </c>
      <c r="G35" s="217">
        <f>G34+G5</f>
        <v>36779.111499999999</v>
      </c>
      <c r="H35" s="217">
        <f>+H5+H34</f>
        <v>250573.69949999999</v>
      </c>
      <c r="I35" s="48"/>
      <c r="J35" s="48"/>
      <c r="K35" s="48"/>
      <c r="L35" s="48"/>
      <c r="M35" s="48"/>
      <c r="O35" s="73">
        <v>254460.12</v>
      </c>
      <c r="P35" s="73">
        <v>258275.58</v>
      </c>
      <c r="V35" s="73">
        <v>250573.7</v>
      </c>
    </row>
    <row r="36" spans="2:22" s="73" customFormat="1" ht="17.100000000000001" customHeight="1">
      <c r="B36" s="162" t="s">
        <v>166</v>
      </c>
      <c r="C36" s="89">
        <v>200</v>
      </c>
      <c r="D36" s="89">
        <v>200</v>
      </c>
      <c r="E36" s="89">
        <v>190</v>
      </c>
      <c r="F36" s="89">
        <v>200</v>
      </c>
      <c r="G36" s="32"/>
      <c r="H36" s="32"/>
      <c r="I36" s="32"/>
      <c r="J36" s="32"/>
      <c r="K36" s="32"/>
      <c r="L36" s="32"/>
      <c r="M36" s="32">
        <f>SUM(C36:L36)</f>
        <v>790</v>
      </c>
      <c r="O36" s="73">
        <f>+O34-O35</f>
        <v>-15134</v>
      </c>
      <c r="P36" s="73">
        <f>+P34-P35</f>
        <v>-15134</v>
      </c>
      <c r="V36" s="73">
        <f>+V34-V35</f>
        <v>-9306.4700000000012</v>
      </c>
    </row>
    <row r="37" spans="2:22" s="73" customFormat="1" ht="17.100000000000001" customHeight="1">
      <c r="B37" s="162" t="s">
        <v>33</v>
      </c>
      <c r="C37" s="32">
        <f>C35/C36</f>
        <v>6932.2250230391128</v>
      </c>
      <c r="D37" s="32">
        <f>D35/D36</f>
        <v>5801.1236730391129</v>
      </c>
      <c r="E37" s="32">
        <f>E35/E36</f>
        <v>4112.1537899264849</v>
      </c>
      <c r="F37" s="32">
        <f>F35/F36</f>
        <v>3221.7803984916154</v>
      </c>
      <c r="G37" s="32"/>
      <c r="H37" s="32"/>
      <c r="I37" s="32"/>
      <c r="J37" s="32"/>
      <c r="K37" s="32"/>
      <c r="L37" s="32"/>
      <c r="M37" s="32"/>
      <c r="V37" s="73">
        <v>84443.53</v>
      </c>
    </row>
    <row r="38" spans="2:22" s="73" customFormat="1" ht="17.100000000000001" customHeight="1">
      <c r="B38" s="137" t="s">
        <v>94</v>
      </c>
      <c r="C38" s="89">
        <v>0</v>
      </c>
      <c r="D38" s="89">
        <v>0</v>
      </c>
      <c r="E38" s="89">
        <v>6</v>
      </c>
      <c r="F38" s="89">
        <v>5</v>
      </c>
      <c r="G38" s="32"/>
      <c r="H38" s="32"/>
      <c r="I38" s="32"/>
      <c r="J38" s="32"/>
      <c r="K38" s="32"/>
      <c r="L38" s="32"/>
      <c r="M38" s="32"/>
      <c r="R38" s="165">
        <f>275823.7-207323.7</f>
        <v>68500</v>
      </c>
      <c r="V38" s="73">
        <f>+V36+V37</f>
        <v>75137.06</v>
      </c>
    </row>
    <row r="39" spans="2:22" s="73" customFormat="1" ht="17.100000000000001" customHeight="1">
      <c r="B39" s="137" t="s">
        <v>95</v>
      </c>
      <c r="C39" s="32">
        <f>C38*C37</f>
        <v>0</v>
      </c>
      <c r="D39" s="32">
        <f>D38*D37</f>
        <v>0</v>
      </c>
      <c r="E39" s="32">
        <f>E38*E37</f>
        <v>24672.922739558911</v>
      </c>
      <c r="F39" s="32">
        <f>F38*F37</f>
        <v>16108.901992458077</v>
      </c>
      <c r="G39" s="32"/>
      <c r="H39" s="32"/>
      <c r="I39" s="32"/>
      <c r="J39" s="32"/>
      <c r="K39" s="32"/>
      <c r="L39" s="32"/>
      <c r="M39" s="32"/>
    </row>
    <row r="40" spans="2:22" s="73" customFormat="1" ht="17.100000000000001" customHeight="1">
      <c r="B40" s="162" t="s">
        <v>34</v>
      </c>
      <c r="C40" s="89">
        <f>C36-C38</f>
        <v>200</v>
      </c>
      <c r="D40" s="89">
        <f>D36-D38</f>
        <v>200</v>
      </c>
      <c r="E40" s="89">
        <f>E36-E38</f>
        <v>184</v>
      </c>
      <c r="F40" s="89">
        <f>F36-F38</f>
        <v>195</v>
      </c>
      <c r="G40" s="32"/>
      <c r="H40" s="32"/>
      <c r="I40" s="32"/>
      <c r="J40" s="32"/>
      <c r="K40" s="32"/>
      <c r="L40" s="32"/>
      <c r="M40" s="32"/>
    </row>
    <row r="41" spans="2:22" s="73" customFormat="1" ht="17.100000000000001" customHeight="1">
      <c r="B41" s="162" t="s">
        <v>35</v>
      </c>
      <c r="C41" s="32">
        <f>C40*C37</f>
        <v>1386445.0046078225</v>
      </c>
      <c r="D41" s="32">
        <f>D40*D37</f>
        <v>1160224.7346078225</v>
      </c>
      <c r="E41" s="32">
        <f>E40*E37</f>
        <v>756636.29734647321</v>
      </c>
      <c r="F41" s="32">
        <f>F40*F37</f>
        <v>628247.177705865</v>
      </c>
      <c r="G41" s="32"/>
      <c r="H41" s="32"/>
      <c r="I41" s="32"/>
      <c r="J41" s="32"/>
      <c r="K41" s="32"/>
      <c r="L41" s="32"/>
      <c r="M41" s="32"/>
    </row>
    <row r="42" spans="2:22" s="73" customFormat="1" ht="17.100000000000001" customHeight="1">
      <c r="B42" s="223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</row>
    <row r="43" spans="2:22" s="73" customFormat="1" ht="17.100000000000001" customHeight="1">
      <c r="B43" s="223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</row>
    <row r="44" spans="2:22" ht="17.100000000000001" customHeight="1">
      <c r="G44" s="166"/>
      <c r="H44" s="241" t="s">
        <v>215</v>
      </c>
      <c r="I44" s="241"/>
    </row>
    <row r="45" spans="2:22" ht="17.100000000000001" customHeight="1">
      <c r="B45" s="171" t="s">
        <v>189</v>
      </c>
      <c r="E45" s="166">
        <f>E41*90/100</f>
        <v>680972.66761182586</v>
      </c>
      <c r="F45" s="166">
        <f>F41*90/100</f>
        <v>565422.45993527852</v>
      </c>
      <c r="H45" s="32">
        <f>E45*2</f>
        <v>1361945.3352236517</v>
      </c>
      <c r="I45" s="32">
        <f>F45*2</f>
        <v>1130844.919870557</v>
      </c>
      <c r="J45" s="81"/>
    </row>
    <row r="46" spans="2:22" ht="17.100000000000001" customHeight="1">
      <c r="B46" s="171" t="s">
        <v>190</v>
      </c>
      <c r="E46" s="166">
        <f>E41-E45</f>
        <v>75663.629734647344</v>
      </c>
      <c r="F46" s="166">
        <f>F41-F45</f>
        <v>62824.717770586489</v>
      </c>
      <c r="H46" s="193" t="s">
        <v>186</v>
      </c>
      <c r="I46" s="193" t="s">
        <v>187</v>
      </c>
    </row>
    <row r="47" spans="2:22" ht="17.100000000000001" customHeight="1">
      <c r="B47" s="165"/>
      <c r="C47" s="166"/>
      <c r="D47" s="166"/>
      <c r="E47" s="166"/>
      <c r="F47" s="166"/>
    </row>
    <row r="48" spans="2:22" ht="17.100000000000001" customHeight="1">
      <c r="B48" s="171" t="s">
        <v>167</v>
      </c>
      <c r="C48" s="166" t="s">
        <v>170</v>
      </c>
      <c r="D48" s="166" t="s">
        <v>171</v>
      </c>
      <c r="E48" s="166" t="s">
        <v>172</v>
      </c>
      <c r="F48" s="166"/>
    </row>
    <row r="49" spans="2:6" ht="17.100000000000001" customHeight="1">
      <c r="B49" s="171" t="s">
        <v>168</v>
      </c>
      <c r="C49" s="190">
        <v>2500</v>
      </c>
      <c r="D49" s="166">
        <v>30</v>
      </c>
      <c r="E49" s="166">
        <f>C49*D49</f>
        <v>75000</v>
      </c>
      <c r="F49" s="166"/>
    </row>
    <row r="50" spans="2:6" ht="17.100000000000001" customHeight="1">
      <c r="B50" s="171" t="s">
        <v>169</v>
      </c>
      <c r="C50" s="190">
        <v>3500</v>
      </c>
      <c r="D50" s="166">
        <v>33</v>
      </c>
      <c r="E50" s="166">
        <f>C50*D50</f>
        <v>115500</v>
      </c>
      <c r="F50" s="166"/>
    </row>
    <row r="51" spans="2:6" ht="17.100000000000001" customHeight="1">
      <c r="B51" s="171" t="s">
        <v>188</v>
      </c>
      <c r="C51" s="166"/>
      <c r="D51" s="166"/>
      <c r="E51" s="166">
        <f>SUM(E49:E50)</f>
        <v>190500</v>
      </c>
      <c r="F51" s="166"/>
    </row>
    <row r="52" spans="2:6" ht="17.100000000000001" customHeight="1">
      <c r="B52" s="165"/>
      <c r="C52" s="166"/>
      <c r="D52" s="166"/>
      <c r="E52" s="166"/>
      <c r="F52" s="166"/>
    </row>
    <row r="53" spans="2:6" ht="17.100000000000001" customHeight="1"/>
    <row r="54" spans="2:6" ht="17.100000000000001" customHeight="1"/>
    <row r="55" spans="2:6" ht="17.100000000000001" customHeight="1"/>
    <row r="56" spans="2:6" ht="17.100000000000001" customHeight="1"/>
    <row r="57" spans="2:6" ht="17.100000000000001" customHeight="1"/>
    <row r="58" spans="2:6" ht="17.100000000000001" customHeight="1"/>
    <row r="59" spans="2:6" ht="17.100000000000001" customHeight="1"/>
    <row r="60" spans="2:6" ht="17.100000000000001" customHeight="1"/>
    <row r="61" spans="2:6" ht="17.100000000000001" customHeight="1"/>
    <row r="62" spans="2:6" ht="17.100000000000001" customHeight="1"/>
    <row r="63" spans="2:6" ht="17.100000000000001" customHeight="1"/>
    <row r="64" spans="2:6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</sheetData>
  <mergeCells count="2">
    <mergeCell ref="H44:I44"/>
    <mergeCell ref="B1:M1"/>
  </mergeCells>
  <pageMargins left="0.15748031496062992" right="0.19685039370078741" top="0.23622047244094491" bottom="0" header="0.23622047244094491" footer="0.27559055118110237"/>
  <pageSetup paperSize="5" scale="8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1:AN59"/>
  <sheetViews>
    <sheetView topLeftCell="A40" workbookViewId="0">
      <selection activeCell="I59" sqref="I59"/>
    </sheetView>
  </sheetViews>
  <sheetFormatPr baseColWidth="10" defaultRowHeight="21" customHeight="1"/>
  <cols>
    <col min="1" max="1" width="1" style="1" customWidth="1"/>
    <col min="2" max="2" width="19.7109375" style="1" customWidth="1"/>
    <col min="3" max="4" width="14.7109375" style="16" customWidth="1"/>
    <col min="5" max="5" width="12.140625" style="1" customWidth="1"/>
    <col min="6" max="6" width="19.7109375" style="1" customWidth="1"/>
    <col min="7" max="8" width="14.7109375" style="16" customWidth="1"/>
    <col min="9" max="16384" width="11.42578125" style="1"/>
  </cols>
  <sheetData>
    <row r="1" spans="2:40" ht="6" customHeight="1">
      <c r="E1" s="16"/>
      <c r="F1" s="16"/>
      <c r="I1" s="16"/>
      <c r="J1" s="16"/>
      <c r="K1" s="16"/>
    </row>
    <row r="2" spans="2:40" ht="12" customHeight="1">
      <c r="B2" s="231" t="s">
        <v>147</v>
      </c>
      <c r="C2" s="232"/>
      <c r="D2" s="232"/>
      <c r="E2" s="232"/>
      <c r="F2" s="232"/>
      <c r="G2" s="232"/>
      <c r="H2" s="232"/>
      <c r="I2" s="16"/>
      <c r="J2" s="16"/>
      <c r="K2" s="16"/>
    </row>
    <row r="3" spans="2:40" ht="6" customHeight="1">
      <c r="B3" s="232"/>
      <c r="C3" s="232"/>
      <c r="D3" s="232"/>
      <c r="E3" s="232"/>
      <c r="F3" s="232"/>
      <c r="G3" s="232"/>
      <c r="H3" s="232"/>
      <c r="I3" s="16"/>
      <c r="J3" s="16"/>
      <c r="K3" s="16"/>
    </row>
    <row r="4" spans="2:40" ht="21" customHeight="1">
      <c r="B4" s="46"/>
      <c r="C4" s="106">
        <v>120000</v>
      </c>
      <c r="D4" s="107">
        <v>0.6</v>
      </c>
      <c r="E4" s="46"/>
      <c r="F4" s="46"/>
      <c r="G4" s="106">
        <v>40000</v>
      </c>
      <c r="H4" s="107">
        <v>0.6</v>
      </c>
      <c r="I4" s="16"/>
      <c r="J4" s="16"/>
      <c r="K4" s="16"/>
    </row>
    <row r="5" spans="2:40" s="8" customFormat="1" ht="21" customHeight="1">
      <c r="B5" s="21" t="s">
        <v>80</v>
      </c>
      <c r="C5" s="14"/>
      <c r="D5" s="29">
        <f>C4*D4</f>
        <v>72000</v>
      </c>
      <c r="F5" s="21" t="s">
        <v>81</v>
      </c>
      <c r="G5" s="14"/>
      <c r="H5" s="29">
        <f>40000*60%</f>
        <v>24000</v>
      </c>
    </row>
    <row r="6" spans="2:40" s="8" customFormat="1" ht="21" customHeight="1" thickBot="1">
      <c r="C6" s="15"/>
      <c r="D6" s="15"/>
      <c r="G6" s="15"/>
      <c r="H6" s="15"/>
    </row>
    <row r="7" spans="2:40" s="8" customFormat="1" ht="30" customHeight="1" thickBot="1">
      <c r="B7" s="2" t="s">
        <v>12</v>
      </c>
      <c r="C7" s="3" t="s">
        <v>13</v>
      </c>
      <c r="D7" s="3" t="s">
        <v>16</v>
      </c>
      <c r="E7" s="13"/>
      <c r="F7" s="2" t="s">
        <v>12</v>
      </c>
      <c r="G7" s="3" t="s">
        <v>13</v>
      </c>
      <c r="H7" s="3" t="s">
        <v>16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2:40" s="8" customFormat="1" ht="21" customHeight="1">
      <c r="B8" s="38" t="str">
        <f>'HCP Segundo Sem.'!E3</f>
        <v>Hato Lechero</v>
      </c>
      <c r="C8" s="7">
        <v>190</v>
      </c>
      <c r="D8" s="30">
        <f>(C8*D5)/C10</f>
        <v>35076.923076923078</v>
      </c>
      <c r="F8" s="6" t="str">
        <f>B8</f>
        <v>Hato Lechero</v>
      </c>
      <c r="G8" s="7">
        <v>190</v>
      </c>
      <c r="H8" s="30">
        <f>(G8*H5)/G10</f>
        <v>11692.307692307691</v>
      </c>
    </row>
    <row r="9" spans="2:40" s="8" customFormat="1" ht="21" customHeight="1" thickBot="1">
      <c r="B9" s="41" t="str">
        <f>'HCP Segundo Sem.'!F3</f>
        <v>Hato Ovejero</v>
      </c>
      <c r="C9" s="25">
        <v>200</v>
      </c>
      <c r="D9" s="26">
        <f>(C9*D5)/C10</f>
        <v>36923.076923076922</v>
      </c>
      <c r="F9" s="24" t="str">
        <f>B9</f>
        <v>Hato Ovejero</v>
      </c>
      <c r="G9" s="25">
        <v>200</v>
      </c>
      <c r="H9" s="26">
        <f>(G9*H5)/G10</f>
        <v>12307.692307692309</v>
      </c>
    </row>
    <row r="10" spans="2:40" s="8" customFormat="1" ht="21" customHeight="1" thickBot="1">
      <c r="B10" s="22" t="s">
        <v>14</v>
      </c>
      <c r="C10" s="27">
        <f>SUM(C8:C9)</f>
        <v>390</v>
      </c>
      <c r="D10" s="23">
        <f>SUM(D8:D9)</f>
        <v>72000</v>
      </c>
      <c r="F10" s="22" t="s">
        <v>14</v>
      </c>
      <c r="G10" s="27">
        <f>SUM(G8:G9)</f>
        <v>390</v>
      </c>
      <c r="H10" s="23">
        <f>SUM(H8:H9)</f>
        <v>24000</v>
      </c>
    </row>
    <row r="11" spans="2:40" ht="15.75" thickTop="1">
      <c r="B11" s="8" t="s">
        <v>72</v>
      </c>
      <c r="C11" s="105">
        <v>0.2</v>
      </c>
      <c r="D11" s="108">
        <f>C4*C11</f>
        <v>24000</v>
      </c>
      <c r="E11" s="16"/>
      <c r="F11" s="8" t="s">
        <v>72</v>
      </c>
      <c r="G11" s="105">
        <v>0.2</v>
      </c>
      <c r="H11" s="108">
        <f>G4*G11</f>
        <v>8000</v>
      </c>
      <c r="I11" s="16"/>
      <c r="J11" s="16"/>
      <c r="K11" s="16"/>
    </row>
    <row r="12" spans="2:40" ht="15">
      <c r="B12" s="8" t="s">
        <v>100</v>
      </c>
      <c r="C12" s="105">
        <v>0.2</v>
      </c>
      <c r="D12" s="108">
        <f>C4*C12</f>
        <v>24000</v>
      </c>
      <c r="E12" s="16"/>
      <c r="F12" s="8" t="s">
        <v>100</v>
      </c>
      <c r="G12" s="105">
        <v>0.2</v>
      </c>
      <c r="H12" s="108">
        <f>G4*G12</f>
        <v>8000</v>
      </c>
      <c r="I12" s="16"/>
      <c r="J12" s="16"/>
      <c r="K12" s="16"/>
    </row>
    <row r="13" spans="2:40" ht="15">
      <c r="B13" s="1" t="s">
        <v>14</v>
      </c>
      <c r="D13" s="108">
        <f>D11+D12</f>
        <v>48000</v>
      </c>
      <c r="E13" s="16"/>
      <c r="F13" s="1" t="s">
        <v>14</v>
      </c>
      <c r="H13" s="108">
        <f>H11+H12</f>
        <v>16000</v>
      </c>
      <c r="I13" s="16"/>
      <c r="J13" s="16"/>
      <c r="K13" s="16"/>
    </row>
    <row r="14" spans="2:40" ht="15">
      <c r="E14" s="16"/>
      <c r="F14" s="20"/>
      <c r="G14" s="20"/>
      <c r="H14" s="20"/>
      <c r="I14" s="16"/>
      <c r="J14" s="16"/>
      <c r="K14" s="16"/>
    </row>
    <row r="15" spans="2:40" ht="21" customHeight="1">
      <c r="C15" s="106">
        <v>120000</v>
      </c>
      <c r="D15" s="107"/>
      <c r="E15" s="46"/>
      <c r="F15" s="46"/>
      <c r="G15" s="106">
        <v>40000</v>
      </c>
      <c r="H15" s="107"/>
      <c r="I15" s="16"/>
      <c r="J15" s="16"/>
      <c r="K15" s="16"/>
    </row>
    <row r="16" spans="2:40" ht="21" customHeight="1">
      <c r="B16" s="109" t="s">
        <v>148</v>
      </c>
      <c r="C16" s="110">
        <f>C15/4</f>
        <v>30000</v>
      </c>
      <c r="D16" s="110"/>
      <c r="E16" s="46"/>
      <c r="F16" s="46"/>
      <c r="G16" s="110">
        <f>G15/4</f>
        <v>10000</v>
      </c>
      <c r="H16" s="110"/>
      <c r="I16" s="16"/>
      <c r="J16" s="16"/>
      <c r="K16" s="16"/>
    </row>
    <row r="17" spans="2:11" ht="21" customHeight="1">
      <c r="B17" s="46"/>
      <c r="C17" s="106"/>
      <c r="D17" s="107"/>
      <c r="E17" s="46"/>
      <c r="F17" s="46"/>
      <c r="G17" s="106"/>
      <c r="H17" s="107"/>
      <c r="I17" s="16"/>
      <c r="J17" s="16"/>
      <c r="K17" s="16"/>
    </row>
    <row r="18" spans="2:11" ht="39.75" customHeight="1">
      <c r="E18" s="16"/>
      <c r="F18" s="20"/>
      <c r="G18" s="20"/>
      <c r="H18" s="20"/>
      <c r="I18" s="16"/>
      <c r="J18" s="16"/>
      <c r="K18" s="16"/>
    </row>
    <row r="19" spans="2:11" ht="21" customHeight="1">
      <c r="B19" s="21" t="s">
        <v>86</v>
      </c>
      <c r="C19" s="14"/>
      <c r="D19" s="29">
        <f>40000</f>
        <v>40000</v>
      </c>
      <c r="F19" s="49"/>
      <c r="G19" s="28"/>
      <c r="H19" s="29"/>
    </row>
    <row r="20" spans="2:11" ht="21" customHeight="1" thickBot="1">
      <c r="B20" s="8"/>
      <c r="C20" s="15"/>
      <c r="D20" s="15"/>
      <c r="F20" s="50"/>
      <c r="G20" s="28"/>
      <c r="H20" s="28"/>
    </row>
    <row r="21" spans="2:11" ht="21" customHeight="1" thickBot="1">
      <c r="B21" s="2" t="s">
        <v>12</v>
      </c>
      <c r="C21" s="3" t="s">
        <v>13</v>
      </c>
      <c r="D21" s="3" t="s">
        <v>16</v>
      </c>
      <c r="F21" s="51"/>
      <c r="G21" s="52"/>
      <c r="H21" s="52"/>
    </row>
    <row r="22" spans="2:11" ht="21" customHeight="1">
      <c r="B22" s="38" t="str">
        <f>'HCP Segundo Sem.'!C3</f>
        <v>Ganado Lechero</v>
      </c>
      <c r="C22" s="7">
        <v>200</v>
      </c>
      <c r="D22" s="93">
        <f>(40000*C22)/779</f>
        <v>10269.576379974325</v>
      </c>
      <c r="F22" s="50"/>
      <c r="G22" s="53"/>
      <c r="H22" s="54"/>
    </row>
    <row r="23" spans="2:11" ht="21" customHeight="1">
      <c r="B23" s="37" t="str">
        <f>'HCP Segundo Sem.'!D3</f>
        <v>Ganado Ovejero</v>
      </c>
      <c r="C23" s="92">
        <v>200</v>
      </c>
      <c r="D23" s="30">
        <f>(40000*C23)/779</f>
        <v>10269.576379974325</v>
      </c>
      <c r="F23" s="50"/>
      <c r="G23" s="53"/>
      <c r="H23" s="54"/>
    </row>
    <row r="24" spans="2:11" ht="21" customHeight="1">
      <c r="B24" s="37" t="str">
        <f>B8</f>
        <v>Hato Lechero</v>
      </c>
      <c r="C24" s="92">
        <f>190-6</f>
        <v>184</v>
      </c>
      <c r="D24" s="30">
        <f>(40000*C24)/779</f>
        <v>9448.0102695763799</v>
      </c>
      <c r="F24" s="50"/>
      <c r="G24" s="53"/>
      <c r="H24" s="54"/>
    </row>
    <row r="25" spans="2:11" ht="21" customHeight="1" thickBot="1">
      <c r="B25" s="41" t="str">
        <f>B9</f>
        <v>Hato Ovejero</v>
      </c>
      <c r="C25" s="25">
        <f>200-5</f>
        <v>195</v>
      </c>
      <c r="D25" s="94">
        <f>(40000*C25)/779</f>
        <v>10012.836970474968</v>
      </c>
      <c r="F25" s="50"/>
      <c r="G25" s="53"/>
      <c r="H25" s="54"/>
    </row>
    <row r="26" spans="2:11" ht="21" customHeight="1" thickBot="1">
      <c r="B26" s="22" t="s">
        <v>14</v>
      </c>
      <c r="C26" s="27">
        <f>SUM(C22:C25)</f>
        <v>779</v>
      </c>
      <c r="D26" s="23">
        <f>SUM(D22:D25)</f>
        <v>40000</v>
      </c>
      <c r="F26" s="50"/>
      <c r="G26" s="53"/>
      <c r="H26" s="54"/>
    </row>
    <row r="27" spans="2:11" ht="21" customHeight="1" thickTop="1">
      <c r="B27" s="50"/>
      <c r="C27" s="53"/>
      <c r="D27" s="54"/>
      <c r="F27" s="50"/>
      <c r="G27" s="53"/>
      <c r="H27" s="54"/>
    </row>
    <row r="28" spans="2:11" ht="6" customHeight="1">
      <c r="B28" s="19"/>
      <c r="C28" s="20"/>
      <c r="D28" s="20"/>
      <c r="E28" s="16"/>
      <c r="F28" s="20"/>
      <c r="G28" s="20"/>
      <c r="H28" s="20"/>
      <c r="I28" s="16"/>
      <c r="J28" s="16"/>
      <c r="K28" s="16"/>
    </row>
    <row r="29" spans="2:11" ht="21" customHeight="1">
      <c r="B29" s="21" t="s">
        <v>87</v>
      </c>
      <c r="C29" s="14"/>
      <c r="D29" s="29">
        <f>44000*2</f>
        <v>88000</v>
      </c>
      <c r="F29" s="49"/>
      <c r="G29" s="28"/>
      <c r="H29" s="29"/>
    </row>
    <row r="30" spans="2:11" ht="21" customHeight="1" thickBot="1">
      <c r="B30" s="8"/>
      <c r="C30" s="15"/>
      <c r="D30" s="15"/>
      <c r="F30" s="50"/>
      <c r="G30" s="28"/>
      <c r="H30" s="28"/>
    </row>
    <row r="31" spans="2:11" ht="21" customHeight="1" thickBot="1">
      <c r="B31" s="2" t="s">
        <v>12</v>
      </c>
      <c r="C31" s="3" t="s">
        <v>146</v>
      </c>
      <c r="D31" s="3" t="s">
        <v>16</v>
      </c>
      <c r="F31" s="51"/>
      <c r="G31" s="52"/>
      <c r="H31" s="52"/>
    </row>
    <row r="32" spans="2:11" ht="21" customHeight="1">
      <c r="B32" s="38" t="str">
        <f>B22</f>
        <v>Ganado Lechero</v>
      </c>
      <c r="C32" s="102">
        <v>0.2</v>
      </c>
      <c r="D32" s="93">
        <f>D29*C32</f>
        <v>17600</v>
      </c>
      <c r="F32" s="50"/>
      <c r="G32" s="53"/>
      <c r="H32" s="54"/>
    </row>
    <row r="33" spans="2:8" ht="21" customHeight="1">
      <c r="B33" s="37" t="str">
        <f>B23</f>
        <v>Ganado Ovejero</v>
      </c>
      <c r="C33" s="103">
        <v>0.2</v>
      </c>
      <c r="D33" s="30">
        <f>D29*C33</f>
        <v>17600</v>
      </c>
      <c r="F33" s="50"/>
      <c r="G33" s="53"/>
      <c r="H33" s="54"/>
    </row>
    <row r="34" spans="2:8" ht="21" customHeight="1">
      <c r="B34" s="37" t="str">
        <f>B24</f>
        <v>Hato Lechero</v>
      </c>
      <c r="C34" s="103">
        <v>0.3</v>
      </c>
      <c r="D34" s="30">
        <f>D29*C34</f>
        <v>26400</v>
      </c>
      <c r="F34" s="50"/>
      <c r="G34" s="53"/>
      <c r="H34" s="54"/>
    </row>
    <row r="35" spans="2:8" ht="21" customHeight="1" thickBot="1">
      <c r="B35" s="41" t="str">
        <f>B25</f>
        <v>Hato Ovejero</v>
      </c>
      <c r="C35" s="104">
        <v>0.3</v>
      </c>
      <c r="D35" s="94">
        <f>D29*C35</f>
        <v>26400</v>
      </c>
      <c r="F35" s="50"/>
      <c r="G35" s="53"/>
      <c r="H35" s="54"/>
    </row>
    <row r="36" spans="2:8" ht="21" customHeight="1" thickBot="1">
      <c r="B36" s="22" t="s">
        <v>14</v>
      </c>
      <c r="C36" s="27">
        <f>SUM(C32:C35)</f>
        <v>1</v>
      </c>
      <c r="D36" s="23">
        <f>SUM(D32:D35)</f>
        <v>88000</v>
      </c>
      <c r="F36" s="50"/>
      <c r="G36" s="53"/>
      <c r="H36" s="54"/>
    </row>
    <row r="37" spans="2:8" ht="21" customHeight="1" thickTop="1">
      <c r="B37" s="50"/>
      <c r="C37" s="53"/>
      <c r="D37" s="54"/>
      <c r="F37" s="50"/>
      <c r="G37" s="53"/>
      <c r="H37" s="54"/>
    </row>
    <row r="38" spans="2:8" ht="21" customHeight="1" thickBot="1">
      <c r="B38" s="21" t="s">
        <v>149</v>
      </c>
      <c r="C38" s="14"/>
      <c r="D38" s="29">
        <v>4000</v>
      </c>
      <c r="F38" s="49"/>
      <c r="G38" s="28"/>
      <c r="H38" s="29"/>
    </row>
    <row r="39" spans="2:8" ht="21" customHeight="1" thickBot="1">
      <c r="B39" s="2" t="s">
        <v>12</v>
      </c>
      <c r="C39" s="3" t="s">
        <v>13</v>
      </c>
      <c r="D39" s="3" t="s">
        <v>16</v>
      </c>
      <c r="F39" s="51"/>
      <c r="G39" s="52"/>
      <c r="H39" s="52"/>
    </row>
    <row r="40" spans="2:8" ht="21" customHeight="1">
      <c r="B40" s="38" t="str">
        <f>B32</f>
        <v>Ganado Lechero</v>
      </c>
      <c r="C40" s="7">
        <v>200</v>
      </c>
      <c r="D40" s="112">
        <f>D38*C40/C44</f>
        <v>1012.6582278481013</v>
      </c>
      <c r="F40" s="50"/>
      <c r="G40" s="53"/>
      <c r="H40" s="54"/>
    </row>
    <row r="41" spans="2:8" ht="21" customHeight="1">
      <c r="B41" s="37" t="str">
        <f>B33</f>
        <v>Ganado Ovejero</v>
      </c>
      <c r="C41" s="92">
        <v>200</v>
      </c>
      <c r="D41" s="113">
        <f>D38*C41/C44</f>
        <v>1012.6582278481013</v>
      </c>
      <c r="F41" s="50"/>
      <c r="G41" s="53"/>
      <c r="H41" s="54"/>
    </row>
    <row r="42" spans="2:8" ht="21" customHeight="1">
      <c r="B42" s="37" t="str">
        <f>B34</f>
        <v>Hato Lechero</v>
      </c>
      <c r="C42" s="92">
        <v>190</v>
      </c>
      <c r="D42" s="114">
        <f>D38*C42/C44</f>
        <v>962.02531645569616</v>
      </c>
      <c r="F42" s="50"/>
      <c r="G42" s="53"/>
      <c r="H42" s="54"/>
    </row>
    <row r="43" spans="2:8" ht="21" customHeight="1" thickBot="1">
      <c r="B43" s="41" t="str">
        <f>B35</f>
        <v>Hato Ovejero</v>
      </c>
      <c r="C43" s="25">
        <v>200</v>
      </c>
      <c r="D43" s="115">
        <f>D38*C43/C44</f>
        <v>1012.6582278481013</v>
      </c>
      <c r="F43" s="50"/>
      <c r="G43" s="53"/>
      <c r="H43" s="54"/>
    </row>
    <row r="44" spans="2:8" ht="21" customHeight="1" thickBot="1">
      <c r="B44" s="22" t="s">
        <v>14</v>
      </c>
      <c r="C44" s="27">
        <f>SUM(C40:C43)</f>
        <v>790</v>
      </c>
      <c r="D44" s="23">
        <f>SUM(D40:D43)</f>
        <v>4000.0000000000005</v>
      </c>
      <c r="F44" s="50"/>
      <c r="G44" s="53"/>
      <c r="H44" s="54"/>
    </row>
    <row r="45" spans="2:8" ht="21" customHeight="1" thickTop="1">
      <c r="B45" s="50"/>
      <c r="C45" s="28"/>
      <c r="D45" s="28"/>
      <c r="F45" s="50"/>
      <c r="G45" s="28"/>
      <c r="H45" s="28"/>
    </row>
    <row r="46" spans="2:8" ht="21" customHeight="1">
      <c r="C46" s="1"/>
      <c r="D46" s="1"/>
      <c r="G46" s="1"/>
      <c r="H46" s="1"/>
    </row>
    <row r="47" spans="2:8" ht="21" customHeight="1">
      <c r="B47" s="1" t="s">
        <v>163</v>
      </c>
      <c r="C47" s="1"/>
      <c r="D47" s="1"/>
      <c r="G47" s="1"/>
      <c r="H47" s="1"/>
    </row>
    <row r="48" spans="2:8" ht="21" customHeight="1">
      <c r="B48" s="1" t="s">
        <v>161</v>
      </c>
      <c r="C48" s="1"/>
      <c r="D48" s="1"/>
      <c r="G48" s="75">
        <f>'HCP Segundo Sem.'!C31*-1</f>
        <v>241267.23</v>
      </c>
      <c r="H48" s="1"/>
    </row>
    <row r="49" spans="2:11" ht="21" customHeight="1">
      <c r="B49" s="8" t="s">
        <v>155</v>
      </c>
      <c r="C49" s="8"/>
      <c r="D49" s="8"/>
      <c r="E49" s="8" t="s">
        <v>156</v>
      </c>
      <c r="F49" s="15" t="s">
        <v>164</v>
      </c>
      <c r="G49" s="8" t="s">
        <v>165</v>
      </c>
      <c r="H49" s="8"/>
      <c r="I49" s="128"/>
    </row>
    <row r="50" spans="2:11" ht="15">
      <c r="B50" s="8" t="s">
        <v>157</v>
      </c>
      <c r="C50" s="8"/>
      <c r="D50" s="8"/>
      <c r="E50" s="8">
        <v>1500</v>
      </c>
      <c r="F50" s="134">
        <f>F54</f>
        <v>24.126723000000002</v>
      </c>
      <c r="G50" s="127">
        <f>F50*E50</f>
        <v>36190.084500000004</v>
      </c>
      <c r="H50" s="8"/>
      <c r="I50" s="8"/>
      <c r="J50" s="16"/>
      <c r="K50" s="16"/>
    </row>
    <row r="51" spans="2:11" ht="21" customHeight="1">
      <c r="B51" s="8" t="s">
        <v>158</v>
      </c>
      <c r="C51" s="8"/>
      <c r="D51" s="8"/>
      <c r="E51" s="8">
        <v>1500</v>
      </c>
      <c r="F51" s="134">
        <f>F54</f>
        <v>24.126723000000002</v>
      </c>
      <c r="G51" s="127">
        <f>F51*E51</f>
        <v>36190.084500000004</v>
      </c>
      <c r="H51" s="8"/>
      <c r="I51" s="8"/>
    </row>
    <row r="52" spans="2:11" ht="21" customHeight="1">
      <c r="B52" s="8" t="s">
        <v>159</v>
      </c>
      <c r="C52" s="8"/>
      <c r="D52" s="8"/>
      <c r="E52" s="8">
        <v>500</v>
      </c>
      <c r="F52" s="134">
        <f>F54</f>
        <v>24.126723000000002</v>
      </c>
      <c r="G52" s="127">
        <f>F52*E52</f>
        <v>12063.361500000001</v>
      </c>
      <c r="H52" s="8"/>
      <c r="I52" s="8"/>
    </row>
    <row r="53" spans="2:11" ht="21" customHeight="1">
      <c r="B53" s="8" t="s">
        <v>160</v>
      </c>
      <c r="C53" s="8"/>
      <c r="D53" s="8"/>
      <c r="E53" s="8">
        <v>6500</v>
      </c>
      <c r="F53" s="134">
        <f>F54</f>
        <v>24.126723000000002</v>
      </c>
      <c r="G53" s="127">
        <f>F53*E53</f>
        <v>156823.69950000002</v>
      </c>
      <c r="H53" s="8"/>
      <c r="I53" s="8"/>
    </row>
    <row r="54" spans="2:11" ht="21" customHeight="1">
      <c r="B54" s="8" t="s">
        <v>161</v>
      </c>
      <c r="C54" s="8"/>
      <c r="D54" s="8"/>
      <c r="E54" s="8">
        <f>SUM(E50:E53)</f>
        <v>10000</v>
      </c>
      <c r="F54" s="134">
        <f>G48/E54</f>
        <v>24.126723000000002</v>
      </c>
      <c r="G54" s="127">
        <f>SUM(G50:G53)</f>
        <v>241267.23000000004</v>
      </c>
      <c r="H54" s="8"/>
      <c r="I54" s="8"/>
    </row>
    <row r="55" spans="2:11" ht="21" customHeight="1">
      <c r="B55" s="50"/>
      <c r="C55" s="53"/>
      <c r="D55" s="54"/>
      <c r="F55" s="19"/>
      <c r="G55" s="20"/>
      <c r="H55" s="20"/>
    </row>
    <row r="56" spans="2:11" ht="21" customHeight="1">
      <c r="B56" s="50"/>
      <c r="C56" s="53"/>
      <c r="D56" s="54"/>
      <c r="F56" s="19"/>
      <c r="G56" s="20"/>
      <c r="H56" s="20"/>
    </row>
    <row r="57" spans="2:11" ht="21" customHeight="1">
      <c r="B57" s="50"/>
      <c r="C57" s="53"/>
      <c r="D57" s="54"/>
      <c r="F57" s="19"/>
      <c r="G57" s="20"/>
      <c r="H57" s="20"/>
    </row>
    <row r="58" spans="2:11" ht="21" customHeight="1">
      <c r="B58" s="50"/>
      <c r="C58" s="53"/>
      <c r="D58" s="54"/>
      <c r="F58" s="19"/>
      <c r="G58" s="20"/>
      <c r="H58" s="20"/>
    </row>
    <row r="59" spans="2:11" ht="21" customHeight="1">
      <c r="B59" s="19"/>
      <c r="C59" s="20"/>
      <c r="D59" s="20"/>
      <c r="F59" s="19"/>
      <c r="G59" s="20"/>
      <c r="H59" s="20"/>
    </row>
  </sheetData>
  <mergeCells count="1">
    <mergeCell ref="B2:H3"/>
  </mergeCells>
  <pageMargins left="0.19685039370078741" right="0.19685039370078741" top="0.35433070866141736" bottom="0.35433070866141736" header="0.31496062992125984" footer="0.31496062992125984"/>
  <pageSetup paperSize="5" scale="85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AW32"/>
  <sheetViews>
    <sheetView topLeftCell="A16" workbookViewId="0">
      <selection activeCell="K31" sqref="K31"/>
    </sheetView>
  </sheetViews>
  <sheetFormatPr baseColWidth="10" defaultRowHeight="21" customHeight="1"/>
  <cols>
    <col min="1" max="1" width="1.85546875" style="1" customWidth="1"/>
    <col min="2" max="2" width="27.42578125" style="1" customWidth="1"/>
    <col min="3" max="3" width="11.5703125" style="1" customWidth="1"/>
    <col min="4" max="4" width="6" style="1" bestFit="1" customWidth="1"/>
    <col min="5" max="5" width="13.28515625" style="1" customWidth="1"/>
    <col min="6" max="6" width="11.28515625" style="1" customWidth="1"/>
    <col min="7" max="7" width="13.42578125" style="1" customWidth="1"/>
    <col min="8" max="9" width="9.7109375" style="1" customWidth="1"/>
    <col min="10" max="10" width="11.140625" style="1" customWidth="1"/>
    <col min="11" max="11" width="11.5703125" style="1" customWidth="1"/>
    <col min="12" max="12" width="11.28515625" style="1" bestFit="1" customWidth="1"/>
    <col min="13" max="13" width="10.7109375" style="1" customWidth="1"/>
    <col min="14" max="16384" width="11.42578125" style="1"/>
  </cols>
  <sheetData>
    <row r="1" spans="2:49" ht="6" customHeight="1"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49" ht="17.100000000000001" customHeight="1">
      <c r="B2" s="11" t="s">
        <v>71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49" ht="17.100000000000001" customHeight="1">
      <c r="B3" s="11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49" ht="17.100000000000001" customHeight="1" thickBot="1">
      <c r="B4" s="12" t="s">
        <v>195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49" ht="30" customHeight="1" thickBot="1">
      <c r="B5" s="2" t="s">
        <v>1</v>
      </c>
      <c r="C5" s="2" t="s">
        <v>25</v>
      </c>
      <c r="D5" s="3" t="s">
        <v>26</v>
      </c>
      <c r="E5" s="3" t="s">
        <v>27</v>
      </c>
      <c r="F5" s="83" t="s">
        <v>72</v>
      </c>
      <c r="G5" s="83" t="s">
        <v>100</v>
      </c>
      <c r="H5" s="83" t="s">
        <v>82</v>
      </c>
      <c r="I5" s="83" t="s">
        <v>93</v>
      </c>
      <c r="J5" s="3" t="s">
        <v>90</v>
      </c>
      <c r="K5" s="3" t="s">
        <v>2</v>
      </c>
      <c r="L5" s="3" t="s">
        <v>28</v>
      </c>
      <c r="M5" s="2" t="s">
        <v>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</row>
    <row r="6" spans="2:49" s="8" customFormat="1" ht="21" customHeight="1">
      <c r="B6" s="18" t="s">
        <v>29</v>
      </c>
      <c r="C6" s="34"/>
      <c r="D6" s="35"/>
      <c r="E6" s="34"/>
      <c r="F6" s="34"/>
      <c r="G6" s="34"/>
      <c r="H6" s="34"/>
      <c r="I6" s="34"/>
      <c r="J6" s="34"/>
      <c r="K6" s="34"/>
      <c r="L6" s="34"/>
      <c r="M6" s="34"/>
    </row>
    <row r="7" spans="2:49" s="8" customFormat="1" ht="21" customHeight="1">
      <c r="B7" s="9" t="s">
        <v>150</v>
      </c>
      <c r="C7" s="10">
        <f>(50000-(50000*15%))/2</f>
        <v>21250</v>
      </c>
      <c r="D7" s="36">
        <v>25</v>
      </c>
      <c r="E7" s="10">
        <f>C7*25%/2</f>
        <v>2656.25</v>
      </c>
      <c r="F7" s="10"/>
      <c r="G7" s="10"/>
      <c r="H7" s="10"/>
      <c r="I7" s="10"/>
      <c r="J7" s="10"/>
      <c r="K7" s="10">
        <f>E7</f>
        <v>2656.25</v>
      </c>
      <c r="L7" s="37">
        <f>-M7</f>
        <v>-2656.25</v>
      </c>
      <c r="M7" s="10">
        <f>SUM(F7:K7)</f>
        <v>2656.25</v>
      </c>
    </row>
    <row r="8" spans="2:49" s="8" customFormat="1" ht="21" customHeight="1">
      <c r="B8" s="17" t="s">
        <v>74</v>
      </c>
      <c r="C8" s="10">
        <f>50000</f>
        <v>50000</v>
      </c>
      <c r="D8" s="36">
        <v>5</v>
      </c>
      <c r="E8" s="10">
        <f>C8*5%/2</f>
        <v>1250</v>
      </c>
      <c r="F8" s="10"/>
      <c r="G8" s="10"/>
      <c r="H8" s="10"/>
      <c r="I8" s="10"/>
      <c r="J8" s="10"/>
      <c r="K8" s="10">
        <f>E8</f>
        <v>1250</v>
      </c>
      <c r="L8" s="37">
        <v>-1250</v>
      </c>
      <c r="M8" s="10">
        <f t="shared" ref="M8:M13" si="0">SUM(F8:K8)</f>
        <v>1250</v>
      </c>
    </row>
    <row r="9" spans="2:49" s="8" customFormat="1" ht="21" customHeight="1">
      <c r="B9" s="17" t="s">
        <v>30</v>
      </c>
      <c r="C9" s="10">
        <f>40000</f>
        <v>40000</v>
      </c>
      <c r="D9" s="36">
        <v>20</v>
      </c>
      <c r="E9" s="10">
        <f>C9*20%/2</f>
        <v>4000</v>
      </c>
      <c r="F9" s="10">
        <f>4000*75%</f>
        <v>3000</v>
      </c>
      <c r="G9" s="10">
        <f>4000*25%</f>
        <v>1000</v>
      </c>
      <c r="H9" s="10"/>
      <c r="I9" s="10"/>
      <c r="J9" s="10"/>
      <c r="K9" s="10"/>
      <c r="L9" s="37">
        <v>-4000</v>
      </c>
      <c r="M9" s="10">
        <f>SUM(F9:K9)</f>
        <v>4000</v>
      </c>
    </row>
    <row r="10" spans="2:49" s="8" customFormat="1" ht="21" customHeight="1">
      <c r="B10" s="17" t="s">
        <v>31</v>
      </c>
      <c r="C10" s="10">
        <f>80000</f>
        <v>80000</v>
      </c>
      <c r="D10" s="36">
        <v>20</v>
      </c>
      <c r="E10" s="10">
        <f>C10*20%/2</f>
        <v>8000</v>
      </c>
      <c r="F10" s="10">
        <f>(8000*75%)</f>
        <v>6000</v>
      </c>
      <c r="G10" s="10">
        <f>(8000*20%)</f>
        <v>1600</v>
      </c>
      <c r="H10" s="10"/>
      <c r="I10" s="10"/>
      <c r="J10" s="10"/>
      <c r="K10" s="10">
        <f>E10*5%</f>
        <v>400</v>
      </c>
      <c r="L10" s="37">
        <v>-8000</v>
      </c>
      <c r="M10" s="10">
        <f>SUM(F10:K10)</f>
        <v>8000</v>
      </c>
    </row>
    <row r="11" spans="2:49" s="8" customFormat="1" ht="21" customHeight="1">
      <c r="B11" s="86" t="s">
        <v>75</v>
      </c>
      <c r="C11" s="67">
        <f>20000/2</f>
        <v>10000</v>
      </c>
      <c r="D11" s="87">
        <v>20</v>
      </c>
      <c r="E11" s="10">
        <f>C11*20%</f>
        <v>2000</v>
      </c>
      <c r="F11" s="67"/>
      <c r="G11" s="67"/>
      <c r="H11" s="67"/>
      <c r="I11" s="67"/>
      <c r="J11" s="67"/>
      <c r="K11" s="67">
        <v>2000</v>
      </c>
      <c r="L11" s="88">
        <v>-2000</v>
      </c>
      <c r="M11" s="10">
        <f t="shared" si="0"/>
        <v>2000</v>
      </c>
    </row>
    <row r="12" spans="2:49" s="8" customFormat="1" ht="21" customHeight="1">
      <c r="B12" s="86" t="s">
        <v>76</v>
      </c>
      <c r="C12" s="67">
        <f>30000/2</f>
        <v>15000</v>
      </c>
      <c r="D12" s="87">
        <v>33.33</v>
      </c>
      <c r="E12" s="10">
        <f>C12*33.33%</f>
        <v>4999.5</v>
      </c>
      <c r="F12" s="67"/>
      <c r="G12" s="67"/>
      <c r="H12" s="67"/>
      <c r="I12" s="67"/>
      <c r="J12" s="67"/>
      <c r="K12" s="67">
        <v>4999.5</v>
      </c>
      <c r="L12" s="88">
        <v>-4999.5</v>
      </c>
      <c r="M12" s="10">
        <f t="shared" si="0"/>
        <v>4999.5</v>
      </c>
    </row>
    <row r="13" spans="2:49" s="8" customFormat="1" ht="21" customHeight="1">
      <c r="B13" s="86" t="s">
        <v>77</v>
      </c>
      <c r="C13" s="67">
        <f>50000/2</f>
        <v>25000</v>
      </c>
      <c r="D13" s="87">
        <v>20</v>
      </c>
      <c r="E13" s="10">
        <f>C13*20%</f>
        <v>5000</v>
      </c>
      <c r="F13" s="67"/>
      <c r="G13" s="67"/>
      <c r="H13" s="67">
        <f>G28</f>
        <v>750</v>
      </c>
      <c r="I13" s="67">
        <f>G29</f>
        <v>750</v>
      </c>
      <c r="J13" s="67">
        <f>G31</f>
        <v>3250</v>
      </c>
      <c r="K13" s="67">
        <f>G30</f>
        <v>250</v>
      </c>
      <c r="L13" s="88">
        <v>-5000</v>
      </c>
      <c r="M13" s="10">
        <f t="shared" si="0"/>
        <v>5000</v>
      </c>
    </row>
    <row r="14" spans="2:49" s="8" customFormat="1" ht="21" customHeight="1">
      <c r="B14" s="116" t="s">
        <v>72</v>
      </c>
      <c r="C14" s="117">
        <v>850000</v>
      </c>
      <c r="D14" s="118">
        <v>25</v>
      </c>
      <c r="E14" s="117">
        <f>C14*D14/100/2</f>
        <v>106250</v>
      </c>
      <c r="F14" s="117">
        <f>E14</f>
        <v>106250</v>
      </c>
      <c r="G14" s="117"/>
      <c r="H14" s="117"/>
      <c r="I14" s="117"/>
      <c r="J14" s="119"/>
      <c r="K14" s="117"/>
      <c r="L14" s="119">
        <f>F14*-1</f>
        <v>-106250</v>
      </c>
      <c r="M14" s="117">
        <f>F14</f>
        <v>106250</v>
      </c>
    </row>
    <row r="15" spans="2:49" s="8" customFormat="1" ht="21" customHeight="1">
      <c r="B15" s="116" t="s">
        <v>151</v>
      </c>
      <c r="C15" s="117"/>
      <c r="D15" s="118"/>
      <c r="E15" s="117"/>
      <c r="F15" s="117"/>
      <c r="G15" s="117"/>
      <c r="H15" s="117"/>
      <c r="I15" s="117"/>
      <c r="J15" s="119"/>
      <c r="K15" s="117"/>
      <c r="L15" s="119"/>
      <c r="M15" s="120"/>
    </row>
    <row r="16" spans="2:49" s="8" customFormat="1" ht="21" customHeight="1">
      <c r="B16" s="116" t="s">
        <v>100</v>
      </c>
      <c r="C16" s="117">
        <v>531250</v>
      </c>
      <c r="D16" s="118">
        <v>25</v>
      </c>
      <c r="E16" s="117">
        <f>C16*D16/100/2</f>
        <v>66406.25</v>
      </c>
      <c r="F16" s="117"/>
      <c r="G16" s="117">
        <f>E16</f>
        <v>66406.25</v>
      </c>
      <c r="H16" s="117"/>
      <c r="I16" s="117"/>
      <c r="J16" s="119"/>
      <c r="K16" s="117"/>
      <c r="L16" s="119">
        <f>E16*-1</f>
        <v>-66406.25</v>
      </c>
      <c r="M16" s="117">
        <f>G16</f>
        <v>66406.25</v>
      </c>
    </row>
    <row r="17" spans="2:13" s="8" customFormat="1" ht="21" customHeight="1" thickBot="1">
      <c r="B17" s="116" t="s">
        <v>152</v>
      </c>
      <c r="C17" s="121"/>
      <c r="D17" s="122"/>
      <c r="E17" s="121"/>
      <c r="F17" s="121"/>
      <c r="G17" s="121"/>
      <c r="H17" s="121"/>
      <c r="I17" s="121"/>
      <c r="J17" s="123"/>
      <c r="K17" s="121"/>
      <c r="L17" s="119"/>
      <c r="M17" s="120"/>
    </row>
    <row r="18" spans="2:13" s="8" customFormat="1" ht="21" customHeight="1" thickBot="1">
      <c r="B18" s="24"/>
      <c r="C18" s="39"/>
      <c r="D18" s="40"/>
      <c r="E18" s="39"/>
      <c r="F18" s="39"/>
      <c r="G18" s="39"/>
      <c r="H18" s="39"/>
      <c r="I18" s="39"/>
      <c r="J18" s="39"/>
      <c r="K18" s="39"/>
      <c r="L18" s="41"/>
      <c r="M18" s="39"/>
    </row>
    <row r="19" spans="2:13" s="8" customFormat="1" ht="21" customHeight="1" thickBot="1">
      <c r="B19" s="42" t="s">
        <v>14</v>
      </c>
      <c r="C19" s="43"/>
      <c r="D19" s="44"/>
      <c r="E19" s="43">
        <f>SUM(E6:E18)</f>
        <v>200562</v>
      </c>
      <c r="F19" s="43">
        <f>SUM(F6:F18)</f>
        <v>115250</v>
      </c>
      <c r="G19" s="43">
        <f>SUM(G6:G18)</f>
        <v>69006.25</v>
      </c>
      <c r="H19" s="43">
        <f t="shared" ref="H19:M19" si="1">SUM(H6:H18)</f>
        <v>750</v>
      </c>
      <c r="I19" s="43">
        <f t="shared" si="1"/>
        <v>750</v>
      </c>
      <c r="J19" s="43">
        <f t="shared" si="1"/>
        <v>3250</v>
      </c>
      <c r="K19" s="43">
        <f t="shared" si="1"/>
        <v>11555.75</v>
      </c>
      <c r="L19" s="45">
        <f t="shared" si="1"/>
        <v>-200562</v>
      </c>
      <c r="M19" s="43">
        <f t="shared" si="1"/>
        <v>200562</v>
      </c>
    </row>
    <row r="20" spans="2:13" s="8" customFormat="1" ht="21" customHeight="1" thickTop="1">
      <c r="B20" s="6"/>
      <c r="C20" s="34"/>
      <c r="D20" s="35"/>
      <c r="E20" s="34"/>
      <c r="F20" s="34"/>
      <c r="G20" s="34"/>
      <c r="H20" s="34"/>
      <c r="I20" s="34"/>
      <c r="J20" s="34"/>
      <c r="K20" s="34"/>
      <c r="L20" s="38"/>
      <c r="M20" s="34"/>
    </row>
    <row r="24" spans="2:13" ht="21" customHeight="1">
      <c r="B24" s="1" t="s">
        <v>153</v>
      </c>
    </row>
    <row r="25" spans="2:13" ht="21" customHeight="1">
      <c r="B25" s="1" t="s">
        <v>154</v>
      </c>
    </row>
    <row r="27" spans="2:13" ht="21" customHeight="1">
      <c r="B27" s="8" t="s">
        <v>155</v>
      </c>
      <c r="C27" s="8"/>
      <c r="D27" s="8"/>
      <c r="E27" s="8" t="s">
        <v>156</v>
      </c>
      <c r="F27" s="15" t="s">
        <v>26</v>
      </c>
      <c r="G27" s="8" t="s">
        <v>162</v>
      </c>
      <c r="H27" s="8"/>
      <c r="I27" s="128">
        <v>5000</v>
      </c>
      <c r="J27" s="8"/>
    </row>
    <row r="28" spans="2:13" ht="21" customHeight="1">
      <c r="B28" s="8" t="s">
        <v>157</v>
      </c>
      <c r="C28" s="8"/>
      <c r="D28" s="8"/>
      <c r="E28" s="8">
        <v>1500</v>
      </c>
      <c r="F28" s="126">
        <f>E28*100/E32</f>
        <v>15</v>
      </c>
      <c r="G28" s="127">
        <f>I27*F28/100</f>
        <v>750</v>
      </c>
      <c r="H28" s="8"/>
      <c r="I28" s="8"/>
      <c r="J28" s="8"/>
    </row>
    <row r="29" spans="2:13" ht="21" customHeight="1">
      <c r="B29" s="8" t="s">
        <v>158</v>
      </c>
      <c r="C29" s="8"/>
      <c r="D29" s="8"/>
      <c r="E29" s="8">
        <v>1500</v>
      </c>
      <c r="F29" s="126">
        <f>E29*100/E32</f>
        <v>15</v>
      </c>
      <c r="G29" s="127">
        <f>I27*F29/100</f>
        <v>750</v>
      </c>
      <c r="H29" s="8"/>
      <c r="I29" s="8"/>
      <c r="J29" s="8"/>
    </row>
    <row r="30" spans="2:13" ht="21" customHeight="1">
      <c r="B30" s="8" t="s">
        <v>159</v>
      </c>
      <c r="C30" s="8"/>
      <c r="D30" s="8"/>
      <c r="E30" s="8">
        <v>500</v>
      </c>
      <c r="F30" s="126">
        <f>E30*100/E32</f>
        <v>5</v>
      </c>
      <c r="G30" s="127">
        <f>I27*F30/100</f>
        <v>250</v>
      </c>
      <c r="H30" s="8"/>
      <c r="I30" s="8"/>
      <c r="J30" s="8"/>
    </row>
    <row r="31" spans="2:13" ht="21" customHeight="1">
      <c r="B31" s="8" t="s">
        <v>160</v>
      </c>
      <c r="C31" s="8"/>
      <c r="D31" s="8"/>
      <c r="E31" s="8">
        <v>6500</v>
      </c>
      <c r="F31" s="126">
        <f>E31*100/E32</f>
        <v>65</v>
      </c>
      <c r="G31" s="127">
        <f>I27*F31/100</f>
        <v>3250</v>
      </c>
      <c r="H31" s="8"/>
      <c r="I31" s="8"/>
      <c r="J31" s="8"/>
    </row>
    <row r="32" spans="2:13" ht="21" customHeight="1">
      <c r="B32" s="8" t="s">
        <v>161</v>
      </c>
      <c r="C32" s="8"/>
      <c r="D32" s="8"/>
      <c r="E32" s="8">
        <f>SUM(E28:E31)</f>
        <v>10000</v>
      </c>
      <c r="F32" s="8"/>
      <c r="G32" s="127">
        <f>SUM(G28:G31)</f>
        <v>5000</v>
      </c>
      <c r="H32" s="8"/>
      <c r="I32" s="8"/>
      <c r="J32" s="8"/>
    </row>
  </sheetData>
  <printOptions horizontalCentered="1" verticalCentered="1"/>
  <pageMargins left="0.19685039370078741" right="0.19685039370078741" top="0.31496062992125984" bottom="0.31496062992125984" header="0.31496062992125984" footer="0.31496062992125984"/>
  <pageSetup scale="85"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80"/>
  <sheetViews>
    <sheetView topLeftCell="A7" workbookViewId="0">
      <selection activeCell="E58" sqref="E58"/>
    </sheetView>
  </sheetViews>
  <sheetFormatPr baseColWidth="10" defaultRowHeight="15"/>
  <cols>
    <col min="1" max="1" width="3" style="1" customWidth="1"/>
    <col min="2" max="2" width="8" style="1" customWidth="1"/>
    <col min="3" max="3" width="55" style="1" customWidth="1"/>
    <col min="4" max="5" width="16.7109375" style="211" customWidth="1"/>
    <col min="6" max="16384" width="11.42578125" style="1"/>
  </cols>
  <sheetData>
    <row r="1" spans="2:5" ht="6" customHeight="1">
      <c r="C1" s="16"/>
      <c r="D1" s="60"/>
      <c r="E1" s="60"/>
    </row>
    <row r="2" spans="2:5" ht="21" customHeight="1">
      <c r="B2" s="194" t="s">
        <v>71</v>
      </c>
      <c r="C2" s="4"/>
      <c r="D2" s="195"/>
      <c r="E2" s="195"/>
    </row>
    <row r="3" spans="2:5" ht="21" customHeight="1">
      <c r="B3" s="196" t="s">
        <v>39</v>
      </c>
      <c r="C3" s="5"/>
      <c r="D3" s="197"/>
      <c r="E3" s="197"/>
    </row>
    <row r="4" spans="2:5" ht="21" customHeight="1">
      <c r="B4" s="196" t="s">
        <v>36</v>
      </c>
      <c r="C4" s="5"/>
      <c r="D4" s="197"/>
      <c r="E4" s="197"/>
    </row>
    <row r="5" spans="2:5" ht="21" customHeight="1" thickBot="1">
      <c r="B5" s="198"/>
      <c r="C5" s="198"/>
      <c r="D5" s="199"/>
      <c r="E5" s="199"/>
    </row>
    <row r="6" spans="2:5" s="202" customFormat="1" ht="21" customHeight="1" thickTop="1">
      <c r="B6" s="17" t="s">
        <v>48</v>
      </c>
      <c r="C6" s="200"/>
      <c r="D6" s="201"/>
      <c r="E6" s="201"/>
    </row>
    <row r="7" spans="2:5" s="202" customFormat="1" ht="21" customHeight="1">
      <c r="B7" s="159"/>
      <c r="C7" s="159" t="s">
        <v>110</v>
      </c>
      <c r="D7" s="203">
        <f>'[1]HCP Primer Sem.'!C30</f>
        <v>526849.10000000009</v>
      </c>
      <c r="E7" s="203"/>
    </row>
    <row r="8" spans="2:5" s="202" customFormat="1" ht="21" customHeight="1">
      <c r="B8" s="159"/>
      <c r="C8" s="159" t="s">
        <v>111</v>
      </c>
      <c r="D8" s="203">
        <f>'[1]HCP Primer Sem.'!D30</f>
        <v>386080.5</v>
      </c>
      <c r="E8" s="203"/>
    </row>
    <row r="9" spans="2:5" s="202" customFormat="1" ht="21" customHeight="1" thickBot="1">
      <c r="B9" s="159"/>
      <c r="C9" s="215" t="s">
        <v>132</v>
      </c>
      <c r="D9" s="204"/>
      <c r="E9" s="204">
        <f>D8+D7</f>
        <v>912929.60000000009</v>
      </c>
    </row>
    <row r="10" spans="2:5" s="202" customFormat="1" ht="21" customHeight="1" thickBot="1">
      <c r="B10" s="159"/>
      <c r="C10" s="17" t="s">
        <v>112</v>
      </c>
      <c r="D10" s="205">
        <f>SUM(D7:D9)</f>
        <v>912929.60000000009</v>
      </c>
      <c r="E10" s="205">
        <f>SUM(E7:E9)</f>
        <v>912929.60000000009</v>
      </c>
    </row>
    <row r="11" spans="2:5" s="202" customFormat="1" ht="21" customHeight="1" thickTop="1">
      <c r="B11" s="159"/>
      <c r="C11" s="159"/>
      <c r="D11" s="206"/>
      <c r="E11" s="206"/>
    </row>
    <row r="12" spans="2:5" s="202" customFormat="1" ht="21" customHeight="1">
      <c r="B12" s="17" t="s">
        <v>223</v>
      </c>
      <c r="C12" s="209" t="s">
        <v>107</v>
      </c>
      <c r="D12" s="216">
        <v>241267.23</v>
      </c>
      <c r="E12" s="216"/>
    </row>
    <row r="13" spans="2:5" s="202" customFormat="1" ht="21" customHeight="1">
      <c r="B13" s="159"/>
      <c r="C13" s="209" t="s">
        <v>108</v>
      </c>
      <c r="D13" s="216">
        <v>195023.48</v>
      </c>
      <c r="E13" s="216"/>
    </row>
    <row r="14" spans="2:5" s="202" customFormat="1" ht="21" customHeight="1">
      <c r="B14" s="159"/>
      <c r="C14" s="209" t="s">
        <v>110</v>
      </c>
      <c r="D14" s="216">
        <v>254460.12</v>
      </c>
      <c r="E14" s="216"/>
    </row>
    <row r="15" spans="2:5" s="202" customFormat="1" ht="21" customHeight="1">
      <c r="B15" s="159"/>
      <c r="C15" s="209" t="s">
        <v>111</v>
      </c>
      <c r="D15" s="216">
        <v>258275.58</v>
      </c>
      <c r="E15" s="216"/>
    </row>
    <row r="16" spans="2:5" s="202" customFormat="1" ht="21" customHeight="1">
      <c r="B16" s="159"/>
      <c r="C16" s="159" t="s">
        <v>49</v>
      </c>
      <c r="D16" s="203">
        <v>250573.7</v>
      </c>
      <c r="E16" s="216"/>
    </row>
    <row r="17" spans="2:7" s="202" customFormat="1" ht="21" customHeight="1">
      <c r="B17" s="159"/>
      <c r="C17" s="159" t="s">
        <v>50</v>
      </c>
      <c r="D17" s="203">
        <v>36779.11</v>
      </c>
      <c r="E17" s="216"/>
    </row>
    <row r="18" spans="2:7" s="202" customFormat="1" ht="21" customHeight="1">
      <c r="B18" s="159"/>
      <c r="C18" s="215" t="s">
        <v>218</v>
      </c>
      <c r="D18" s="203"/>
      <c r="E18" s="203">
        <v>65000</v>
      </c>
    </row>
    <row r="19" spans="2:7" s="202" customFormat="1" ht="21" customHeight="1">
      <c r="B19" s="159"/>
      <c r="C19" s="215" t="s">
        <v>49</v>
      </c>
      <c r="D19" s="203"/>
      <c r="E19" s="203">
        <f>+'HCP Segundo Sem.'!H31</f>
        <v>241267.23</v>
      </c>
    </row>
    <row r="20" spans="2:7" s="202" customFormat="1" ht="21" customHeight="1">
      <c r="B20" s="159"/>
      <c r="C20" s="215" t="s">
        <v>43</v>
      </c>
      <c r="D20" s="203"/>
      <c r="E20" s="203">
        <v>200562</v>
      </c>
      <c r="F20" s="207"/>
    </row>
    <row r="21" spans="2:7" s="202" customFormat="1" ht="21" customHeight="1">
      <c r="B21" s="159"/>
      <c r="C21" s="215" t="s">
        <v>109</v>
      </c>
      <c r="D21" s="203"/>
      <c r="E21" s="203">
        <v>729550</v>
      </c>
      <c r="F21" s="165"/>
      <c r="G21" s="207"/>
    </row>
    <row r="22" spans="2:7" s="202" customFormat="1" ht="21" customHeight="1" thickBot="1">
      <c r="B22" s="159"/>
      <c r="C22" s="17" t="s">
        <v>221</v>
      </c>
      <c r="D22" s="204"/>
      <c r="E22" s="204"/>
    </row>
    <row r="23" spans="2:7" s="202" customFormat="1" ht="21" customHeight="1" thickBot="1">
      <c r="B23" s="159"/>
      <c r="C23" s="159"/>
      <c r="D23" s="205">
        <f>SUM(D12:D22)</f>
        <v>1236379.2200000002</v>
      </c>
      <c r="E23" s="205">
        <f>SUM(E18:E22)</f>
        <v>1236379.23</v>
      </c>
      <c r="F23" s="207"/>
    </row>
    <row r="24" spans="2:7" s="202" customFormat="1" ht="21" customHeight="1" thickTop="1">
      <c r="B24" s="159"/>
      <c r="C24" s="159"/>
      <c r="D24" s="203"/>
      <c r="E24" s="203"/>
    </row>
    <row r="25" spans="2:7" s="202" customFormat="1" ht="21" customHeight="1">
      <c r="B25" s="17" t="s">
        <v>224</v>
      </c>
      <c r="C25" s="159" t="s">
        <v>133</v>
      </c>
      <c r="D25" s="203">
        <f>E29</f>
        <v>45675.643743657587</v>
      </c>
      <c r="E25" s="203"/>
    </row>
    <row r="26" spans="2:7" s="202" customFormat="1" ht="21" customHeight="1">
      <c r="B26" s="159"/>
      <c r="C26" s="189" t="s">
        <v>134</v>
      </c>
      <c r="D26" s="203"/>
      <c r="E26" s="203">
        <f>'[1]HCP Segundo Sem.'!E45</f>
        <v>24672.922761385438</v>
      </c>
    </row>
    <row r="27" spans="2:7" s="202" customFormat="1" ht="21" customHeight="1">
      <c r="B27" s="159"/>
      <c r="C27" s="189" t="s">
        <v>122</v>
      </c>
      <c r="D27" s="203"/>
      <c r="E27" s="203">
        <f>'[1]HCP Segundo Sem.'!F45</f>
        <v>16108.90200973741</v>
      </c>
    </row>
    <row r="28" spans="2:7" s="202" customFormat="1" ht="21" customHeight="1" thickBot="1">
      <c r="B28" s="159"/>
      <c r="C28" s="189" t="s">
        <v>135</v>
      </c>
      <c r="D28" s="204"/>
      <c r="E28" s="204">
        <f>(E26+E27)*12/100</f>
        <v>4893.818972534742</v>
      </c>
    </row>
    <row r="29" spans="2:7" s="202" customFormat="1" ht="21" customHeight="1" thickBot="1">
      <c r="B29" s="159"/>
      <c r="C29" s="17" t="s">
        <v>136</v>
      </c>
      <c r="D29" s="208">
        <f>SUM(D25:D28)</f>
        <v>45675.643743657587</v>
      </c>
      <c r="E29" s="208">
        <f>SUM(E25:E28)</f>
        <v>45675.643743657587</v>
      </c>
    </row>
    <row r="30" spans="2:7" s="202" customFormat="1" ht="21" customHeight="1" thickTop="1">
      <c r="B30" s="159"/>
      <c r="C30" s="159"/>
      <c r="D30" s="203"/>
      <c r="E30" s="203"/>
    </row>
    <row r="31" spans="2:7" s="202" customFormat="1" ht="21" customHeight="1">
      <c r="B31" s="17" t="s">
        <v>225</v>
      </c>
      <c r="C31" s="159" t="s">
        <v>103</v>
      </c>
      <c r="D31" s="203">
        <f>SUM(E32:E34)</f>
        <v>2683290.2575120428</v>
      </c>
      <c r="E31" s="203"/>
    </row>
    <row r="32" spans="2:7" s="202" customFormat="1" ht="21" customHeight="1">
      <c r="B32" s="159"/>
      <c r="C32" s="189" t="s">
        <v>115</v>
      </c>
      <c r="D32" s="203"/>
      <c r="E32" s="203">
        <f>('[1]HCP Segundo Sem.'!E48*90%)*2</f>
        <v>1361945.3364284765</v>
      </c>
    </row>
    <row r="33" spans="2:5" s="202" customFormat="1" ht="21" customHeight="1">
      <c r="B33" s="159"/>
      <c r="C33" s="189" t="s">
        <v>116</v>
      </c>
      <c r="D33" s="203"/>
      <c r="E33" s="203">
        <f>('[1]HCP Segundo Sem.'!F48*90%)*2</f>
        <v>1130844.9210835663</v>
      </c>
    </row>
    <row r="34" spans="2:5" ht="21" customHeight="1" thickBot="1">
      <c r="B34" s="212"/>
      <c r="C34" s="189" t="s">
        <v>54</v>
      </c>
      <c r="D34" s="204"/>
      <c r="E34" s="204">
        <f>(2500*30)+(3500*33)</f>
        <v>190500</v>
      </c>
    </row>
    <row r="35" spans="2:5" s="202" customFormat="1" ht="21" customHeight="1" thickBot="1">
      <c r="B35" s="159"/>
      <c r="C35" s="17" t="s">
        <v>117</v>
      </c>
      <c r="D35" s="208">
        <f>SUM(D31:D34)</f>
        <v>2683290.2575120428</v>
      </c>
      <c r="E35" s="208">
        <f>SUM(E31:E34)</f>
        <v>2683290.2575120428</v>
      </c>
    </row>
    <row r="36" spans="2:5" s="202" customFormat="1" ht="21" customHeight="1" thickTop="1">
      <c r="C36" s="159"/>
      <c r="D36" s="201"/>
      <c r="E36" s="201"/>
    </row>
    <row r="37" spans="2:5" s="202" customFormat="1" ht="21" customHeight="1">
      <c r="B37" s="17" t="s">
        <v>226</v>
      </c>
      <c r="C37" s="159" t="s">
        <v>118</v>
      </c>
      <c r="D37" s="203">
        <f>'[1]HCP Segundo Sem.'!E48*90%</f>
        <v>680972.66821423825</v>
      </c>
      <c r="E37" s="203"/>
    </row>
    <row r="38" spans="2:5" s="202" customFormat="1" ht="21" customHeight="1">
      <c r="B38" s="159"/>
      <c r="C38" s="159" t="s">
        <v>119</v>
      </c>
      <c r="D38" s="203">
        <f>'[1]HCP Segundo Sem.'!F48*90%</f>
        <v>565422.46054178313</v>
      </c>
      <c r="E38" s="203"/>
    </row>
    <row r="39" spans="2:5" s="202" customFormat="1" ht="21" customHeight="1">
      <c r="B39" s="159"/>
      <c r="C39" s="159" t="s">
        <v>55</v>
      </c>
      <c r="D39" s="203">
        <f>'[1]HCP Segundo Sem.'!H41</f>
        <v>275823.70249508461</v>
      </c>
      <c r="E39" s="203"/>
    </row>
    <row r="40" spans="2:5" s="202" customFormat="1" ht="21" customHeight="1">
      <c r="B40" s="159"/>
      <c r="C40" s="159" t="s">
        <v>72</v>
      </c>
      <c r="D40" s="203">
        <v>386445</v>
      </c>
      <c r="E40" s="203"/>
    </row>
    <row r="41" spans="2:5" s="202" customFormat="1" ht="21" customHeight="1">
      <c r="B41" s="159"/>
      <c r="C41" s="159" t="s">
        <v>100</v>
      </c>
      <c r="D41" s="203">
        <v>160224.51</v>
      </c>
      <c r="E41" s="203"/>
    </row>
    <row r="42" spans="2:5" s="202" customFormat="1" ht="21" customHeight="1">
      <c r="B42" s="159"/>
      <c r="C42" s="159" t="s">
        <v>82</v>
      </c>
      <c r="D42" s="203">
        <f>'[1]HCP Segundo Sem.'!E48*10%</f>
        <v>75663.629801582021</v>
      </c>
      <c r="E42" s="203"/>
    </row>
    <row r="43" spans="2:5" s="202" customFormat="1" ht="21" customHeight="1">
      <c r="B43" s="159"/>
      <c r="C43" s="159" t="s">
        <v>83</v>
      </c>
      <c r="D43" s="203">
        <f>'[1]HCP Segundo Sem.'!F48*10%</f>
        <v>62824.717837975899</v>
      </c>
      <c r="E43" s="203"/>
    </row>
    <row r="44" spans="2:5" s="202" customFormat="1" ht="21" customHeight="1">
      <c r="B44" s="159"/>
      <c r="C44" s="189" t="s">
        <v>114</v>
      </c>
      <c r="D44" s="203"/>
      <c r="E44" s="203">
        <f>D40</f>
        <v>386445</v>
      </c>
    </row>
    <row r="45" spans="2:5" s="202" customFormat="1" ht="21" customHeight="1">
      <c r="B45" s="159"/>
      <c r="C45" s="189" t="s">
        <v>120</v>
      </c>
      <c r="D45" s="203"/>
      <c r="E45" s="203">
        <f>D41</f>
        <v>160224.51</v>
      </c>
    </row>
    <row r="46" spans="2:5" s="202" customFormat="1" ht="21" customHeight="1">
      <c r="B46" s="159"/>
      <c r="C46" s="189" t="s">
        <v>121</v>
      </c>
      <c r="D46" s="203"/>
      <c r="E46" s="203">
        <f>D37+D42</f>
        <v>756636.29801582033</v>
      </c>
    </row>
    <row r="47" spans="2:5" s="202" customFormat="1" ht="21" customHeight="1">
      <c r="B47" s="159"/>
      <c r="C47" s="189" t="s">
        <v>122</v>
      </c>
      <c r="D47" s="210"/>
      <c r="E47" s="210">
        <f>D38+D43</f>
        <v>628247.17837975908</v>
      </c>
    </row>
    <row r="48" spans="2:5" s="202" customFormat="1" ht="21" customHeight="1" thickBot="1">
      <c r="B48" s="159"/>
      <c r="C48" s="189" t="s">
        <v>124</v>
      </c>
      <c r="D48" s="204"/>
      <c r="E48" s="204">
        <f>D39</f>
        <v>275823.70249508461</v>
      </c>
    </row>
    <row r="49" spans="1:7" s="202" customFormat="1" ht="21" customHeight="1" thickBot="1">
      <c r="B49" s="159"/>
      <c r="C49" s="17" t="s">
        <v>123</v>
      </c>
      <c r="D49" s="208">
        <f>SUM(D37:D48)</f>
        <v>2207376.6888906639</v>
      </c>
      <c r="E49" s="208">
        <f>SUM(E37:E48)</f>
        <v>2207376.6888906639</v>
      </c>
    </row>
    <row r="50" spans="1:7" s="202" customFormat="1" ht="21" customHeight="1" thickTop="1">
      <c r="B50" s="226"/>
      <c r="D50" s="227"/>
      <c r="E50" s="227"/>
    </row>
    <row r="51" spans="1:7" ht="21" customHeight="1">
      <c r="A51" s="202"/>
      <c r="B51" s="129"/>
      <c r="C51" s="228" t="s">
        <v>173</v>
      </c>
      <c r="D51" s="213"/>
      <c r="E51" s="213"/>
      <c r="F51" s="202"/>
      <c r="G51" s="202"/>
    </row>
    <row r="52" spans="1:7" ht="21" customHeight="1">
      <c r="A52" s="202"/>
      <c r="B52" s="17" t="s">
        <v>227</v>
      </c>
      <c r="C52" s="159" t="s">
        <v>180</v>
      </c>
      <c r="D52" s="131">
        <f>E32</f>
        <v>1361945.3364284765</v>
      </c>
      <c r="E52" s="131"/>
      <c r="F52" s="202"/>
      <c r="G52" s="202"/>
    </row>
    <row r="53" spans="1:7" ht="21" customHeight="1">
      <c r="A53" s="202"/>
      <c r="B53" s="213"/>
      <c r="C53" s="159" t="s">
        <v>181</v>
      </c>
      <c r="D53" s="131">
        <f>E33</f>
        <v>1130844.9210835663</v>
      </c>
      <c r="E53" s="131"/>
      <c r="F53" s="202"/>
      <c r="G53" s="202"/>
    </row>
    <row r="54" spans="1:7" ht="21" customHeight="1">
      <c r="A54" s="202"/>
      <c r="B54" s="213"/>
      <c r="C54" s="159" t="s">
        <v>182</v>
      </c>
      <c r="D54" s="131">
        <f>E34</f>
        <v>190500</v>
      </c>
      <c r="E54" s="131"/>
      <c r="F54" s="202"/>
      <c r="G54" s="202"/>
    </row>
    <row r="55" spans="1:7" ht="21" customHeight="1">
      <c r="A55" s="202"/>
      <c r="B55" s="213"/>
      <c r="C55" s="189" t="s">
        <v>183</v>
      </c>
      <c r="D55" s="131"/>
      <c r="E55" s="131">
        <f>D37</f>
        <v>680972.66821423825</v>
      </c>
      <c r="F55" s="202"/>
      <c r="G55" s="202"/>
    </row>
    <row r="56" spans="1:7" ht="21" customHeight="1">
      <c r="A56" s="202"/>
      <c r="B56" s="213"/>
      <c r="C56" s="189" t="s">
        <v>184</v>
      </c>
      <c r="D56" s="131"/>
      <c r="E56" s="131">
        <f>D38</f>
        <v>565422.46054178313</v>
      </c>
      <c r="F56" s="202"/>
      <c r="G56" s="202"/>
    </row>
    <row r="57" spans="1:7" ht="21" customHeight="1">
      <c r="A57" s="202"/>
      <c r="B57" s="213"/>
      <c r="C57" s="189" t="s">
        <v>185</v>
      </c>
      <c r="D57" s="131"/>
      <c r="E57" s="131">
        <f>D39</f>
        <v>275823.70249508461</v>
      </c>
      <c r="F57" s="202"/>
      <c r="G57" s="202"/>
    </row>
    <row r="58" spans="1:7" ht="21" customHeight="1">
      <c r="A58" s="202"/>
      <c r="B58" s="213"/>
      <c r="C58" s="229" t="s">
        <v>174</v>
      </c>
      <c r="D58" s="131"/>
      <c r="E58" s="131">
        <f>-(E55+E56+E57)+D59</f>
        <v>1161071.4262609368</v>
      </c>
      <c r="F58" s="202"/>
      <c r="G58" s="202"/>
    </row>
    <row r="59" spans="1:7" ht="21" customHeight="1">
      <c r="A59" s="202"/>
      <c r="B59" s="213"/>
      <c r="C59" s="230" t="s">
        <v>175</v>
      </c>
      <c r="D59" s="132">
        <f>SUM(D52:D58)</f>
        <v>2683290.2575120428</v>
      </c>
      <c r="E59" s="132">
        <f>SUM(E53:E58)</f>
        <v>2683290.2575120428</v>
      </c>
      <c r="F59" s="202"/>
      <c r="G59" s="202"/>
    </row>
    <row r="60" spans="1:7" ht="21" customHeight="1">
      <c r="A60" s="202"/>
      <c r="B60" s="129"/>
      <c r="C60" s="130"/>
      <c r="D60" s="131"/>
      <c r="E60" s="131"/>
      <c r="F60" s="202"/>
      <c r="G60" s="202"/>
    </row>
    <row r="61" spans="1:7" ht="21" customHeight="1">
      <c r="A61" s="202"/>
      <c r="B61" s="17" t="s">
        <v>228</v>
      </c>
      <c r="C61" s="129" t="s">
        <v>174</v>
      </c>
      <c r="D61" s="131">
        <f>+E62</f>
        <v>63901.11</v>
      </c>
      <c r="E61" s="131"/>
      <c r="F61" s="202"/>
      <c r="G61" s="202"/>
    </row>
    <row r="62" spans="1:7" ht="21" customHeight="1">
      <c r="A62" s="202"/>
      <c r="B62" s="213"/>
      <c r="C62" s="229" t="s">
        <v>176</v>
      </c>
      <c r="D62" s="131"/>
      <c r="E62" s="131">
        <f>+D17+'Partidas Primer Sem.'!D29</f>
        <v>63901.11</v>
      </c>
      <c r="F62" s="202"/>
      <c r="G62" s="202"/>
    </row>
    <row r="63" spans="1:7" ht="21" customHeight="1">
      <c r="A63" s="202"/>
      <c r="B63" s="213"/>
      <c r="C63" s="230" t="s">
        <v>177</v>
      </c>
      <c r="D63" s="132">
        <f>SUM(D61:D62)</f>
        <v>63901.11</v>
      </c>
      <c r="E63" s="132">
        <f>SUM(E61:E62)</f>
        <v>63901.11</v>
      </c>
      <c r="F63" s="202"/>
      <c r="G63" s="202"/>
    </row>
    <row r="64" spans="1:7" ht="21" customHeight="1">
      <c r="A64" s="202"/>
      <c r="B64" s="213"/>
      <c r="C64" s="213"/>
      <c r="D64" s="132"/>
      <c r="E64" s="132"/>
      <c r="F64" s="202"/>
      <c r="G64" s="202"/>
    </row>
    <row r="65" spans="1:7" ht="21" customHeight="1">
      <c r="A65" s="202"/>
      <c r="B65" s="17" t="s">
        <v>217</v>
      </c>
      <c r="C65" s="129" t="s">
        <v>174</v>
      </c>
      <c r="D65" s="131">
        <f>E58-D61</f>
        <v>1097170.3162609367</v>
      </c>
      <c r="E65" s="131"/>
      <c r="F65" s="202"/>
      <c r="G65" s="202"/>
    </row>
    <row r="66" spans="1:7" ht="21" customHeight="1">
      <c r="A66" s="202"/>
      <c r="B66" s="213"/>
      <c r="C66" s="229" t="s">
        <v>178</v>
      </c>
      <c r="D66" s="131"/>
      <c r="E66" s="131">
        <f>D65</f>
        <v>1097170.3162609367</v>
      </c>
      <c r="F66" s="202"/>
      <c r="G66" s="202"/>
    </row>
    <row r="67" spans="1:7" ht="21" customHeight="1">
      <c r="A67" s="202"/>
      <c r="B67" s="213"/>
      <c r="C67" s="230" t="s">
        <v>179</v>
      </c>
      <c r="D67" s="132">
        <f>SUM(D65:D66)</f>
        <v>1097170.3162609367</v>
      </c>
      <c r="E67" s="132">
        <f>SUM(E65:E66)</f>
        <v>1097170.3162609367</v>
      </c>
      <c r="F67" s="202"/>
      <c r="G67" s="202"/>
    </row>
    <row r="68" spans="1:7" ht="21" customHeight="1">
      <c r="A68" s="202"/>
      <c r="B68" s="213"/>
      <c r="C68" s="213"/>
      <c r="D68" s="213"/>
      <c r="E68" s="213"/>
      <c r="F68" s="202"/>
      <c r="G68" s="202"/>
    </row>
    <row r="69" spans="1:7" ht="21" customHeight="1">
      <c r="A69" s="202"/>
      <c r="B69" s="226"/>
      <c r="C69" s="226"/>
      <c r="D69" s="226"/>
      <c r="E69" s="226"/>
      <c r="F69" s="202"/>
      <c r="G69" s="202"/>
    </row>
    <row r="70" spans="1:7" ht="21" customHeight="1">
      <c r="A70" s="202"/>
      <c r="B70" s="202"/>
      <c r="C70" s="202"/>
      <c r="D70" s="207"/>
      <c r="E70" s="207"/>
      <c r="F70" s="202"/>
      <c r="G70" s="202"/>
    </row>
    <row r="71" spans="1:7" ht="21" customHeight="1">
      <c r="A71" s="202"/>
      <c r="B71" s="202"/>
      <c r="C71" s="202"/>
      <c r="D71" s="207"/>
      <c r="E71" s="207"/>
      <c r="F71" s="202"/>
      <c r="G71" s="202"/>
    </row>
    <row r="72" spans="1:7" ht="21" customHeight="1">
      <c r="A72" s="202"/>
      <c r="B72" s="202"/>
      <c r="C72" s="202"/>
      <c r="D72" s="207"/>
      <c r="E72" s="207"/>
      <c r="F72" s="202"/>
      <c r="G72" s="202"/>
    </row>
    <row r="73" spans="1:7" ht="21" customHeight="1"/>
    <row r="74" spans="1:7" ht="21" customHeight="1"/>
    <row r="75" spans="1:7" ht="21" customHeight="1"/>
    <row r="76" spans="1:7" ht="21" customHeight="1"/>
    <row r="77" spans="1:7" ht="21" customHeight="1"/>
    <row r="78" spans="1:7" ht="21" customHeight="1"/>
    <row r="79" spans="1:7" ht="21" customHeight="1"/>
    <row r="80" spans="1:7" ht="21" customHeight="1"/>
  </sheetData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L43"/>
  <sheetViews>
    <sheetView workbookViewId="0">
      <selection activeCell="I19" sqref="I19"/>
    </sheetView>
  </sheetViews>
  <sheetFormatPr baseColWidth="10" defaultRowHeight="21" customHeight="1"/>
  <cols>
    <col min="1" max="1" width="3" style="56" customWidth="1"/>
    <col min="2" max="2" width="8" style="56" customWidth="1"/>
    <col min="3" max="3" width="34.85546875" style="56" customWidth="1"/>
    <col min="4" max="5" width="16.7109375" style="64" customWidth="1"/>
    <col min="6" max="6" width="11.42578125" style="56"/>
    <col min="7" max="7" width="14.28515625" style="56" bestFit="1" customWidth="1"/>
    <col min="8" max="16384" width="11.42578125" style="56"/>
  </cols>
  <sheetData>
    <row r="1" spans="2:12" s="1" customFormat="1" ht="6" customHeight="1">
      <c r="C1" s="16"/>
      <c r="D1" s="60"/>
      <c r="E1" s="60"/>
      <c r="F1" s="16"/>
      <c r="G1" s="16"/>
      <c r="H1" s="16"/>
      <c r="I1" s="16"/>
      <c r="J1" s="16"/>
      <c r="K1" s="16"/>
      <c r="L1" s="16"/>
    </row>
    <row r="2" spans="2:12" ht="21" customHeight="1">
      <c r="B2" s="11" t="s">
        <v>71</v>
      </c>
      <c r="C2" s="57"/>
      <c r="D2" s="61"/>
      <c r="E2" s="61"/>
    </row>
    <row r="3" spans="2:12" ht="21" customHeight="1">
      <c r="B3" s="12" t="s">
        <v>56</v>
      </c>
      <c r="C3" s="58"/>
      <c r="D3" s="62"/>
      <c r="E3" s="62"/>
    </row>
    <row r="4" spans="2:12" ht="21" customHeight="1">
      <c r="B4" s="12" t="s">
        <v>125</v>
      </c>
      <c r="C4" s="58"/>
      <c r="D4" s="62"/>
      <c r="E4" s="62"/>
    </row>
    <row r="5" spans="2:12" ht="21" customHeight="1" thickBot="1">
      <c r="B5" s="59"/>
      <c r="C5" s="59"/>
      <c r="D5" s="63"/>
      <c r="E5" s="63"/>
    </row>
    <row r="6" spans="2:12" s="8" customFormat="1" ht="21" customHeight="1" thickTop="1">
      <c r="B6" s="9"/>
      <c r="C6" s="69" t="s">
        <v>57</v>
      </c>
      <c r="D6" s="10"/>
      <c r="E6" s="10"/>
    </row>
    <row r="7" spans="2:12" s="8" customFormat="1" ht="21" customHeight="1">
      <c r="B7" s="9"/>
      <c r="C7" s="9" t="s">
        <v>126</v>
      </c>
      <c r="D7" s="10"/>
      <c r="E7" s="10"/>
    </row>
    <row r="8" spans="2:12" s="8" customFormat="1" ht="21" customHeight="1">
      <c r="B8" s="9"/>
      <c r="C8" s="9" t="s">
        <v>127</v>
      </c>
      <c r="D8" s="10"/>
      <c r="E8" s="10"/>
    </row>
    <row r="9" spans="2:12" s="8" customFormat="1" ht="21" customHeight="1" thickBot="1">
      <c r="B9" s="9"/>
      <c r="C9" s="9" t="s">
        <v>58</v>
      </c>
      <c r="D9" s="39"/>
      <c r="E9" s="10"/>
    </row>
    <row r="10" spans="2:12" s="8" customFormat="1" ht="21" customHeight="1">
      <c r="B10" s="36" t="s">
        <v>59</v>
      </c>
      <c r="C10" s="69" t="s">
        <v>38</v>
      </c>
      <c r="D10" s="38"/>
      <c r="E10" s="37"/>
    </row>
    <row r="11" spans="2:12" s="8" customFormat="1" ht="21" customHeight="1">
      <c r="B11" s="9"/>
      <c r="C11" s="9" t="s">
        <v>128</v>
      </c>
      <c r="D11" s="37"/>
      <c r="E11" s="37"/>
    </row>
    <row r="12" spans="2:12" s="8" customFormat="1" ht="21" customHeight="1">
      <c r="B12" s="9"/>
      <c r="C12" s="9" t="s">
        <v>129</v>
      </c>
      <c r="D12" s="37"/>
      <c r="E12" s="37"/>
    </row>
    <row r="13" spans="2:12" s="8" customFormat="1" ht="21" customHeight="1" thickBot="1">
      <c r="B13" s="9"/>
      <c r="C13" s="9" t="s">
        <v>60</v>
      </c>
      <c r="D13" s="41"/>
      <c r="E13" s="37"/>
    </row>
    <row r="14" spans="2:12" s="8" customFormat="1" ht="21" customHeight="1">
      <c r="B14" s="36" t="s">
        <v>59</v>
      </c>
      <c r="C14" s="69" t="s">
        <v>130</v>
      </c>
      <c r="D14" s="38"/>
      <c r="E14" s="37"/>
    </row>
    <row r="15" spans="2:12" s="8" customFormat="1" ht="21" customHeight="1" thickBot="1">
      <c r="B15" s="9"/>
      <c r="C15" s="9" t="s">
        <v>113</v>
      </c>
      <c r="D15" s="41"/>
      <c r="E15" s="37"/>
    </row>
    <row r="16" spans="2:12" s="8" customFormat="1" ht="21" customHeight="1">
      <c r="B16" s="36" t="s">
        <v>61</v>
      </c>
      <c r="C16" s="69" t="s">
        <v>62</v>
      </c>
      <c r="D16" s="34"/>
      <c r="E16" s="37"/>
    </row>
    <row r="17" spans="2:7" s="8" customFormat="1" ht="21" customHeight="1">
      <c r="B17" s="36"/>
      <c r="C17" s="9" t="s">
        <v>131</v>
      </c>
      <c r="D17" s="97"/>
      <c r="E17" s="88"/>
    </row>
    <row r="18" spans="2:7" s="8" customFormat="1" ht="21" customHeight="1" thickBot="1">
      <c r="B18" s="9"/>
      <c r="C18" s="9" t="s">
        <v>63</v>
      </c>
      <c r="D18" s="41"/>
      <c r="E18" s="39"/>
    </row>
    <row r="19" spans="2:7" s="8" customFormat="1" ht="21" customHeight="1">
      <c r="B19" s="9"/>
      <c r="C19" s="9" t="s">
        <v>64</v>
      </c>
      <c r="D19" s="34"/>
      <c r="E19" s="34"/>
    </row>
    <row r="20" spans="2:7" s="8" customFormat="1" ht="21" customHeight="1">
      <c r="B20" s="9"/>
      <c r="C20" s="69" t="s">
        <v>65</v>
      </c>
      <c r="D20" s="37"/>
      <c r="E20" s="37"/>
    </row>
    <row r="21" spans="2:7" s="8" customFormat="1" ht="21" customHeight="1" thickBot="1">
      <c r="B21" s="9"/>
      <c r="C21" s="9" t="s">
        <v>66</v>
      </c>
      <c r="D21" s="41"/>
      <c r="E21" s="41"/>
    </row>
    <row r="22" spans="2:7" s="8" customFormat="1" ht="21" customHeight="1">
      <c r="B22" s="9"/>
      <c r="C22" s="9" t="s">
        <v>67</v>
      </c>
      <c r="D22" s="34"/>
      <c r="E22" s="34"/>
    </row>
    <row r="23" spans="2:7" s="8" customFormat="1" ht="21" customHeight="1">
      <c r="B23" s="9"/>
      <c r="C23" s="9" t="s">
        <v>68</v>
      </c>
      <c r="D23" s="10"/>
      <c r="E23" s="71"/>
    </row>
    <row r="24" spans="2:7" s="8" customFormat="1" ht="21" customHeight="1" thickBot="1">
      <c r="B24" s="9"/>
      <c r="C24" s="9" t="s">
        <v>69</v>
      </c>
      <c r="D24" s="10"/>
      <c r="E24" s="72"/>
      <c r="G24" s="70"/>
    </row>
    <row r="25" spans="2:7" s="8" customFormat="1" ht="21" customHeight="1" thickBot="1">
      <c r="B25" s="9"/>
      <c r="C25" s="9" t="s">
        <v>70</v>
      </c>
      <c r="D25" s="10"/>
      <c r="E25" s="43"/>
      <c r="G25" s="70"/>
    </row>
    <row r="26" spans="2:7" s="8" customFormat="1" ht="21" customHeight="1" thickTop="1">
      <c r="B26" s="9"/>
      <c r="C26" s="9"/>
      <c r="D26" s="10"/>
      <c r="E26" s="10"/>
    </row>
    <row r="27" spans="2:7" s="8" customFormat="1" ht="21" customHeight="1">
      <c r="D27" s="55"/>
      <c r="E27" s="55"/>
    </row>
    <row r="28" spans="2:7" s="8" customFormat="1" ht="21" customHeight="1">
      <c r="D28" s="55"/>
      <c r="E28" s="55"/>
    </row>
    <row r="29" spans="2:7" s="8" customFormat="1" ht="21" customHeight="1">
      <c r="D29" s="55"/>
      <c r="E29" s="55"/>
    </row>
    <row r="30" spans="2:7" s="8" customFormat="1" ht="21" customHeight="1">
      <c r="D30" s="55"/>
      <c r="E30" s="55"/>
    </row>
    <row r="31" spans="2:7" s="8" customFormat="1" ht="21" customHeight="1">
      <c r="D31" s="55"/>
      <c r="E31" s="55"/>
    </row>
    <row r="32" spans="2:7" s="8" customFormat="1" ht="21" customHeight="1">
      <c r="D32" s="55"/>
      <c r="E32" s="55"/>
    </row>
    <row r="33" spans="4:5" s="8" customFormat="1" ht="21" customHeight="1">
      <c r="D33" s="55"/>
      <c r="E33" s="55"/>
    </row>
    <row r="34" spans="4:5" s="8" customFormat="1" ht="21" customHeight="1">
      <c r="D34" s="55"/>
      <c r="E34" s="55"/>
    </row>
    <row r="35" spans="4:5" s="8" customFormat="1" ht="21" customHeight="1">
      <c r="D35" s="55"/>
      <c r="E35" s="55"/>
    </row>
    <row r="36" spans="4:5" s="8" customFormat="1" ht="21" customHeight="1">
      <c r="D36" s="55"/>
      <c r="E36" s="55"/>
    </row>
    <row r="37" spans="4:5" s="8" customFormat="1" ht="21" customHeight="1">
      <c r="D37" s="55"/>
      <c r="E37" s="55"/>
    </row>
    <row r="38" spans="4:5" s="8" customFormat="1" ht="21" customHeight="1">
      <c r="D38" s="55"/>
      <c r="E38" s="55"/>
    </row>
    <row r="39" spans="4:5" s="8" customFormat="1" ht="21" customHeight="1">
      <c r="D39" s="55"/>
      <c r="E39" s="55"/>
    </row>
    <row r="40" spans="4:5" s="8" customFormat="1" ht="21" customHeight="1">
      <c r="D40" s="55"/>
      <c r="E40" s="55"/>
    </row>
    <row r="41" spans="4:5" s="8" customFormat="1" ht="21" customHeight="1">
      <c r="D41" s="55"/>
      <c r="E41" s="55"/>
    </row>
    <row r="42" spans="4:5" s="8" customFormat="1" ht="21" customHeight="1">
      <c r="D42" s="55"/>
      <c r="E42" s="55"/>
    </row>
    <row r="43" spans="4:5" s="8" customFormat="1" ht="21" customHeight="1">
      <c r="D43" s="55"/>
      <c r="E43" s="55"/>
    </row>
  </sheetData>
  <pageMargins left="0.93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HCP Primer Sem.</vt:lpstr>
      <vt:lpstr>Anexos Primer Sem.</vt:lpstr>
      <vt:lpstr>Depre. Primer Sem.</vt:lpstr>
      <vt:lpstr>Partidas Primer Sem.</vt:lpstr>
      <vt:lpstr>HCP Segundo Sem.</vt:lpstr>
      <vt:lpstr>Anexos Segundo Sem.</vt:lpstr>
      <vt:lpstr>Depre. Segundo Sem.</vt:lpstr>
      <vt:lpstr>Partidas Segundo Sem</vt:lpstr>
      <vt:lpstr>Estado R.</vt:lpstr>
      <vt:lpstr>'HCP Primer Sem.'!Títulos_a_imprimir</vt:lpstr>
      <vt:lpstr>'HCP Segundo Sem.'!Títulos_a_imprimir</vt:lpstr>
    </vt:vector>
  </TitlesOfParts>
  <Company>uso 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familia matta</cp:lastModifiedBy>
  <cp:lastPrinted>2014-03-08T11:29:04Z</cp:lastPrinted>
  <dcterms:created xsi:type="dcterms:W3CDTF">2010-01-21T03:50:03Z</dcterms:created>
  <dcterms:modified xsi:type="dcterms:W3CDTF">2014-03-08T17:51:28Z</dcterms:modified>
</cp:coreProperties>
</file>