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8805" activeTab="0"/>
  </bookViews>
  <sheets>
    <sheet name="Costo" sheetId="1" r:id="rId1"/>
    <sheet name="Jornalizaciòn" sheetId="2" r:id="rId2"/>
    <sheet name="Estado de Resultados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E8" authorId="0">
      <text>
        <r>
          <rPr>
            <b/>
            <sz val="8"/>
            <rFont val="Tahoma"/>
            <family val="2"/>
          </rPr>
          <t>El Costo unitario que se toma es no incluyento los gastos por empaque y la resta del costo de visceras de Industrializacion</t>
        </r>
      </text>
    </comment>
    <comment ref="D22" authorId="0">
      <text>
        <r>
          <rPr>
            <b/>
            <sz val="8"/>
            <rFont val="Tahoma"/>
            <family val="2"/>
          </rPr>
          <t>El Costo unitario que se toma es no incluyento los gastos por empaque de industrializacion</t>
        </r>
      </text>
    </comment>
    <comment ref="F8" authorId="0">
      <text>
        <r>
          <rPr>
            <b/>
            <sz val="8"/>
            <rFont val="Tahoma"/>
            <family val="2"/>
          </rPr>
          <t>El Costo unitario que se toma es No incluyento los gastos por empaque y la resta de las Bandejas de Postura</t>
        </r>
      </text>
    </comment>
    <comment ref="C21" authorId="0">
      <text>
        <r>
          <rPr>
            <b/>
            <sz val="8"/>
            <rFont val="Tahoma"/>
            <family val="2"/>
          </rPr>
          <t>El Costo unitario que se toma es No incluyento los gastos por empaque y la resta de las Bandejas de Postura</t>
        </r>
      </text>
    </comment>
  </commentList>
</comments>
</file>

<file path=xl/sharedStrings.xml><?xml version="1.0" encoding="utf-8"?>
<sst xmlns="http://schemas.openxmlformats.org/spreadsheetml/2006/main" count="187" uniqueCount="120">
  <si>
    <t>Materia Prima</t>
  </si>
  <si>
    <t>Mano de Obra</t>
  </si>
  <si>
    <t>Gastos Indirectos</t>
  </si>
  <si>
    <t>Costo Unitario</t>
  </si>
  <si>
    <t>Saldos Iniciales</t>
  </si>
  <si>
    <t>Gastos de Fabricacion</t>
  </si>
  <si>
    <t>Ventas</t>
  </si>
  <si>
    <t>Costo gallinas engorde</t>
  </si>
  <si>
    <t>Seguros</t>
  </si>
  <si>
    <t>Inventario General</t>
  </si>
  <si>
    <t>Caja y Bancos</t>
  </si>
  <si>
    <t>DEBE</t>
  </si>
  <si>
    <t>HABER</t>
  </si>
  <si>
    <t>Seguros Pa. Anticipada</t>
  </si>
  <si>
    <t>Costo de Ventas</t>
  </si>
  <si>
    <t>Visceras</t>
  </si>
  <si>
    <t>Bandejas</t>
  </si>
  <si>
    <t>Gallinaza</t>
  </si>
  <si>
    <t>(-) Costo de Ventas</t>
  </si>
  <si>
    <t>Margen Bruto</t>
  </si>
  <si>
    <t>Gastos de Ventas</t>
  </si>
  <si>
    <t>Gastos de Administracion</t>
  </si>
  <si>
    <t>Ganancia en Operación</t>
  </si>
  <si>
    <t>I.S.R.  31%</t>
  </si>
  <si>
    <t>Ganancias despues de isr</t>
  </si>
  <si>
    <t>Reserva Legal 5%</t>
  </si>
  <si>
    <t>Ganancia de Ejercicio</t>
  </si>
  <si>
    <t>CALCULOS DE LIBRAS PARA INDUSTRIALIZACION</t>
  </si>
  <si>
    <t>Peso en libras por ave</t>
  </si>
  <si>
    <t>Total Libras Industrializacion</t>
  </si>
  <si>
    <t>Merma 10%</t>
  </si>
  <si>
    <t>Libras en Industrializacion</t>
  </si>
  <si>
    <t>CALCULOS DE CAJAS DE HUEVOS</t>
  </si>
  <si>
    <t>Costo Total</t>
  </si>
  <si>
    <t>Capital</t>
  </si>
  <si>
    <t>AVICOLA IMPERIAL</t>
  </si>
  <si>
    <t>Unidades</t>
  </si>
  <si>
    <t>Deprec. Maquinaria y Equipo Avic</t>
  </si>
  <si>
    <t>Dep. Equipo Industrializacion</t>
  </si>
  <si>
    <t>Deprec. Galeras p /aves</t>
  </si>
  <si>
    <t>Agotamiento</t>
  </si>
  <si>
    <t xml:space="preserve">        Unidades</t>
  </si>
  <si>
    <t xml:space="preserve">    = Unidades disponibles</t>
  </si>
  <si>
    <t>Traslado a Industrializaciòn</t>
  </si>
  <si>
    <t>Traslado a Postura</t>
  </si>
  <si>
    <t xml:space="preserve">  = Costo Traslado</t>
  </si>
  <si>
    <t>Empaque</t>
  </si>
  <si>
    <t>Costo Visceras</t>
  </si>
  <si>
    <t>Costo Bandejas</t>
  </si>
  <si>
    <t>(-) Muertes, huevos rotos y merma</t>
  </si>
  <si>
    <t>Animales inventario + traslado pon</t>
  </si>
  <si>
    <t xml:space="preserve">  = Dispon</t>
  </si>
  <si>
    <t>ventas   %</t>
  </si>
  <si>
    <t xml:space="preserve">  =Total Ventas</t>
  </si>
  <si>
    <t>COSTO TOTAL</t>
  </si>
  <si>
    <t>Maquinaria y Equipo Agricola</t>
  </si>
  <si>
    <t>Equipo Industrializacion de aves</t>
  </si>
  <si>
    <t>Galeras para aves(80% ponedoras 20% Industrializacion)</t>
  </si>
  <si>
    <t>Depreciacion Acumulada</t>
  </si>
  <si>
    <t>Seguro avicola(produccion huevo e indust equitativo)</t>
  </si>
  <si>
    <t>Inventarios General Materia Prima</t>
  </si>
  <si>
    <t>Inventario ponedoras en Crecimiento (30,500 aves -acum 2 mes)</t>
  </si>
  <si>
    <t>Inventario Gallinas engorde p/Industrial.(15,000 aves -acum 2 mes)</t>
  </si>
  <si>
    <t>Inventario de Huevo comercial(300 cajas produc ' 06)</t>
  </si>
  <si>
    <t>Depreciacion equipo Avicola</t>
  </si>
  <si>
    <t>Depreciacion Galeras p/aves</t>
  </si>
  <si>
    <t>Costo Postura</t>
  </si>
  <si>
    <t>Registro costo de 25,000 aves traslad. de crecimiento</t>
  </si>
  <si>
    <t>Registro del costo de las aves de crecimiento 28,975 unid</t>
  </si>
  <si>
    <t>Registro del costo la produccion de huevos</t>
  </si>
  <si>
    <t>que hacen un total de 12,000 cajas</t>
  </si>
  <si>
    <t>Registro costo de 3,975 aves traslad. de crecimiento</t>
  </si>
  <si>
    <t>Costo Crecimiento</t>
  </si>
  <si>
    <t>Costo Industrializacion</t>
  </si>
  <si>
    <t>Registro de costos y gastos por las visceras</t>
  </si>
  <si>
    <t>Depreciacion equipo Industrializacion</t>
  </si>
  <si>
    <t>Registro del costo industrializacion de 85,387.50 libs</t>
  </si>
  <si>
    <t xml:space="preserve">de carne </t>
  </si>
  <si>
    <t>720 cajas de huevos rotos</t>
  </si>
  <si>
    <t>Costo Gallinaza</t>
  </si>
  <si>
    <t>Pollos ponedoras</t>
  </si>
  <si>
    <t xml:space="preserve">  = Agotamiento en 14 meses</t>
  </si>
  <si>
    <t xml:space="preserve">     ( - ) Costo de reemplazo</t>
  </si>
  <si>
    <t xml:space="preserve">   =  Agotamiento de 11 meses</t>
  </si>
  <si>
    <t>AGOTAMIENTO</t>
  </si>
  <si>
    <t>Inventario ponedoras</t>
  </si>
  <si>
    <t>INDUSTRIALIZACION</t>
  </si>
  <si>
    <t>VISCERAS</t>
  </si>
  <si>
    <t>BANDEJAS</t>
  </si>
  <si>
    <t>GALLINAZA</t>
  </si>
  <si>
    <t>INVENTARIO</t>
  </si>
  <si>
    <t>CRECIMIENTO</t>
  </si>
  <si>
    <t>DESCRIPCION</t>
  </si>
  <si>
    <t>AVES</t>
  </si>
  <si>
    <t>CAJAS HUEVO</t>
  </si>
  <si>
    <t>LBS CARNE 5 C/U</t>
  </si>
  <si>
    <t>LIBRAS VISCERAS</t>
  </si>
  <si>
    <t>BANDEJA CAJAS HUEVO</t>
  </si>
  <si>
    <t>QUINTALES</t>
  </si>
  <si>
    <t>No.</t>
  </si>
  <si>
    <t>AVICOLA IMPERIAL, S.A.</t>
  </si>
  <si>
    <t>ESTADO DE RESULTADOS</t>
  </si>
  <si>
    <t>CIFRAS EXPRESADAS EN QUETZALES</t>
  </si>
  <si>
    <t xml:space="preserve">POSTURA </t>
  </si>
  <si>
    <t>Apertura contable del año</t>
  </si>
  <si>
    <t xml:space="preserve">Costo o Inventario </t>
  </si>
  <si>
    <t>Jornalización</t>
  </si>
  <si>
    <t>Inventario-2009</t>
  </si>
  <si>
    <t>Inventario-2010</t>
  </si>
  <si>
    <t>Inventario - 09</t>
  </si>
  <si>
    <t>Existencia 2010</t>
  </si>
  <si>
    <t>Precio Venta</t>
  </si>
  <si>
    <t>Libras</t>
  </si>
  <si>
    <t>Total Ventas</t>
  </si>
  <si>
    <t>Huevo A</t>
  </si>
  <si>
    <t>Pollo 10 Lbs</t>
  </si>
  <si>
    <t>Costo de producción pollitas de 1 día</t>
  </si>
  <si>
    <t>Inventario pollitas de 1 día</t>
  </si>
  <si>
    <t>Para registrar el traslado del inventario</t>
  </si>
  <si>
    <t>de las pollitas al costo de producción</t>
  </si>
</sst>
</file>

<file path=xl/styles.xml><?xml version="1.0" encoding="utf-8"?>
<styleSheet xmlns="http://schemas.openxmlformats.org/spreadsheetml/2006/main">
  <numFmts count="3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_);_(* \(#,##0.0\);_(* &quot;-&quot;??_);_(@_)"/>
    <numFmt numFmtId="182" formatCode="_(* #,##0_);_(* \(#,##0\);_(* &quot;-&quot;??_);_(@_)"/>
    <numFmt numFmtId="183" formatCode="#,##0.0000_);\(#,##0.0000\)"/>
    <numFmt numFmtId="184" formatCode="#,##0.0"/>
    <numFmt numFmtId="185" formatCode="#,##0.00000_);\(#,##0.00000\)"/>
    <numFmt numFmtId="186" formatCode="#,##0.000000_);\(#,##0.000000\)"/>
    <numFmt numFmtId="187" formatCode="0.0"/>
    <numFmt numFmtId="188" formatCode="_-* #,##0.0000_-;\-* #,##0.0000_-;_-* &quot;-&quot;????_-;_-@_-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43" fontId="6" fillId="0" borderId="0" xfId="48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/>
    </xf>
    <xf numFmtId="43" fontId="5" fillId="0" borderId="0" xfId="48" applyFont="1" applyFill="1" applyBorder="1" applyAlignment="1">
      <alignment horizontal="center" vertical="justify"/>
    </xf>
    <xf numFmtId="37" fontId="6" fillId="0" borderId="0" xfId="48" applyNumberFormat="1" applyFont="1" applyAlignment="1">
      <alignment/>
    </xf>
    <xf numFmtId="43" fontId="6" fillId="0" borderId="0" xfId="48" applyFont="1" applyFill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justify"/>
    </xf>
    <xf numFmtId="43" fontId="5" fillId="0" borderId="10" xfId="48" applyFont="1" applyFill="1" applyBorder="1" applyAlignment="1">
      <alignment horizontal="center" vertical="justify"/>
    </xf>
    <xf numFmtId="3" fontId="6" fillId="0" borderId="0" xfId="48" applyNumberFormat="1" applyFont="1" applyFill="1" applyAlignment="1">
      <alignment horizontal="center"/>
    </xf>
    <xf numFmtId="3" fontId="6" fillId="0" borderId="0" xfId="48" applyNumberFormat="1" applyFont="1" applyAlignment="1">
      <alignment/>
    </xf>
    <xf numFmtId="4" fontId="6" fillId="0" borderId="0" xfId="48" applyNumberFormat="1" applyFont="1" applyAlignment="1">
      <alignment/>
    </xf>
    <xf numFmtId="3" fontId="6" fillId="0" borderId="0" xfId="48" applyNumberFormat="1" applyFont="1" applyAlignment="1">
      <alignment horizontal="center"/>
    </xf>
    <xf numFmtId="183" fontId="6" fillId="0" borderId="0" xfId="48" applyNumberFormat="1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 horizontal="center"/>
    </xf>
    <xf numFmtId="4" fontId="6" fillId="0" borderId="1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43" fontId="6" fillId="0" borderId="11" xfId="48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3" fontId="5" fillId="33" borderId="10" xfId="48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43" fontId="5" fillId="33" borderId="13" xfId="48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43" fontId="6" fillId="33" borderId="0" xfId="48" applyFont="1" applyFill="1" applyAlignment="1">
      <alignment/>
    </xf>
    <xf numFmtId="43" fontId="5" fillId="33" borderId="14" xfId="48" applyFont="1" applyFill="1" applyBorder="1" applyAlignment="1">
      <alignment/>
    </xf>
    <xf numFmtId="43" fontId="5" fillId="33" borderId="0" xfId="48" applyFont="1" applyFill="1" applyAlignment="1">
      <alignment horizontal="center"/>
    </xf>
    <xf numFmtId="0" fontId="8" fillId="33" borderId="0" xfId="0" applyFont="1" applyFill="1" applyAlignment="1">
      <alignment/>
    </xf>
    <xf numFmtId="43" fontId="5" fillId="33" borderId="0" xfId="48" applyFont="1" applyFill="1" applyBorder="1" applyAlignment="1">
      <alignment/>
    </xf>
    <xf numFmtId="43" fontId="6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43" fontId="6" fillId="0" borderId="15" xfId="48" applyFont="1" applyFill="1" applyBorder="1" applyAlignment="1">
      <alignment/>
    </xf>
    <xf numFmtId="0" fontId="8" fillId="0" borderId="0" xfId="0" applyFont="1" applyAlignment="1">
      <alignment/>
    </xf>
    <xf numFmtId="43" fontId="6" fillId="0" borderId="11" xfId="48" applyFont="1" applyFill="1" applyBorder="1" applyAlignment="1">
      <alignment/>
    </xf>
    <xf numFmtId="43" fontId="5" fillId="0" borderId="16" xfId="48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43" fontId="9" fillId="0" borderId="17" xfId="48" applyFont="1" applyFill="1" applyBorder="1" applyAlignment="1">
      <alignment horizontal="center" vertical="center"/>
    </xf>
    <xf numFmtId="43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179" fontId="6" fillId="0" borderId="0" xfId="48" applyNumberFormat="1" applyFont="1" applyAlignment="1">
      <alignment/>
    </xf>
    <xf numFmtId="0" fontId="9" fillId="34" borderId="17" xfId="0" applyFont="1" applyFill="1" applyBorder="1" applyAlignment="1">
      <alignment horizontal="center" vertical="center"/>
    </xf>
    <xf numFmtId="181" fontId="6" fillId="0" borderId="0" xfId="48" applyNumberFormat="1" applyFont="1" applyAlignment="1">
      <alignment/>
    </xf>
    <xf numFmtId="191" fontId="6" fillId="0" borderId="0" xfId="48" applyNumberFormat="1" applyFont="1" applyAlignment="1">
      <alignment/>
    </xf>
    <xf numFmtId="37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7"/>
  <sheetViews>
    <sheetView tabSelected="1" zoomScale="90" zoomScaleNormal="90" zoomScalePageLayoutView="0" workbookViewId="0" topLeftCell="A1">
      <pane ySplit="5" topLeftCell="A18" activePane="bottomLeft" state="frozen"/>
      <selection pane="topLeft" activeCell="A1" sqref="A1"/>
      <selection pane="bottomLeft" activeCell="B34" sqref="B34"/>
    </sheetView>
  </sheetViews>
  <sheetFormatPr defaultColWidth="11.421875" defaultRowHeight="12.75"/>
  <cols>
    <col min="1" max="1" width="30.140625" style="2" customWidth="1"/>
    <col min="2" max="2" width="16.7109375" style="2" customWidth="1"/>
    <col min="3" max="3" width="15.7109375" style="2" bestFit="1" customWidth="1"/>
    <col min="4" max="4" width="31.57421875" style="2" customWidth="1"/>
    <col min="5" max="5" width="17.28125" style="2" customWidth="1"/>
    <col min="6" max="6" width="17.421875" style="2" bestFit="1" customWidth="1"/>
    <col min="7" max="7" width="16.00390625" style="2" bestFit="1" customWidth="1"/>
    <col min="8" max="8" width="13.7109375" style="1" customWidth="1"/>
    <col min="9" max="9" width="4.7109375" style="1" customWidth="1"/>
    <col min="10" max="10" width="16.00390625" style="1" bestFit="1" customWidth="1"/>
    <col min="11" max="16384" width="11.421875" style="2" customWidth="1"/>
  </cols>
  <sheetData>
    <row r="1" ht="15"/>
    <row r="2" ht="15"/>
    <row r="3" spans="1:8" ht="15.75">
      <c r="A3" s="59" t="s">
        <v>35</v>
      </c>
      <c r="B3" s="59"/>
      <c r="C3" s="59"/>
      <c r="D3" s="59"/>
      <c r="E3" s="59"/>
      <c r="F3" s="59"/>
      <c r="G3" s="59"/>
      <c r="H3" s="59"/>
    </row>
    <row r="4" ht="15.75" thickBot="1"/>
    <row r="5" spans="1:10" s="50" customFormat="1" ht="13.5" thickBot="1">
      <c r="A5" s="47" t="s">
        <v>92</v>
      </c>
      <c r="B5" s="47" t="s">
        <v>91</v>
      </c>
      <c r="C5" s="47" t="s">
        <v>103</v>
      </c>
      <c r="D5" s="47" t="s">
        <v>86</v>
      </c>
      <c r="E5" s="47" t="s">
        <v>87</v>
      </c>
      <c r="F5" s="47" t="s">
        <v>88</v>
      </c>
      <c r="G5" s="52" t="s">
        <v>89</v>
      </c>
      <c r="H5" s="48" t="s">
        <v>90</v>
      </c>
      <c r="I5" s="49"/>
      <c r="J5" s="49"/>
    </row>
    <row r="6" spans="1:8" ht="15.75">
      <c r="A6" s="3"/>
      <c r="B6" s="4"/>
      <c r="C6" s="4"/>
      <c r="D6" s="5"/>
      <c r="E6" s="4"/>
      <c r="F6" s="4"/>
      <c r="G6" s="4"/>
      <c r="H6" s="6"/>
    </row>
    <row r="7" spans="1:7" ht="15">
      <c r="A7" s="2" t="s">
        <v>36</v>
      </c>
      <c r="B7" s="7">
        <v>30500</v>
      </c>
      <c r="C7" s="7">
        <v>25000</v>
      </c>
      <c r="D7" s="7">
        <f>15000+B34</f>
        <v>18975</v>
      </c>
      <c r="E7" s="7">
        <v>1000</v>
      </c>
      <c r="F7" s="7">
        <f>(12000*0.06)</f>
        <v>720</v>
      </c>
      <c r="G7" s="7"/>
    </row>
    <row r="8" spans="1:7" ht="15">
      <c r="A8" s="2" t="s">
        <v>4</v>
      </c>
      <c r="B8" s="8">
        <v>300000</v>
      </c>
      <c r="C8" s="8">
        <f>SUM(B33)</f>
        <v>456471.09577221744</v>
      </c>
      <c r="D8" s="1">
        <f>125000+B35</f>
        <v>197578.90422778256</v>
      </c>
      <c r="E8" s="1">
        <f>SUM(E7*6.1176)</f>
        <v>6117.6</v>
      </c>
      <c r="F8" s="1">
        <f>-C21</f>
        <v>68335.2</v>
      </c>
      <c r="G8" s="1"/>
    </row>
    <row r="9" spans="2:7" ht="15">
      <c r="B9" s="8"/>
      <c r="C9" s="8"/>
      <c r="D9" s="1"/>
      <c r="E9" s="1"/>
      <c r="F9" s="1"/>
      <c r="G9" s="1"/>
    </row>
    <row r="10" spans="1:7" ht="15.75">
      <c r="A10" s="9" t="s">
        <v>0</v>
      </c>
      <c r="B10" s="8">
        <v>130000</v>
      </c>
      <c r="C10" s="8">
        <v>200000</v>
      </c>
      <c r="D10" s="1">
        <v>100000</v>
      </c>
      <c r="E10" s="1"/>
      <c r="F10" s="1">
        <v>10000</v>
      </c>
      <c r="G10" s="1">
        <v>2000</v>
      </c>
    </row>
    <row r="11" spans="2:7" ht="15">
      <c r="B11" s="8"/>
      <c r="C11" s="8"/>
      <c r="D11" s="1"/>
      <c r="E11" s="1"/>
      <c r="F11" s="1"/>
      <c r="G11" s="1"/>
    </row>
    <row r="12" spans="1:7" ht="15.75">
      <c r="A12" s="9" t="s">
        <v>1</v>
      </c>
      <c r="B12" s="8">
        <v>80000</v>
      </c>
      <c r="C12" s="8">
        <v>180000</v>
      </c>
      <c r="D12" s="1">
        <v>120000</v>
      </c>
      <c r="E12" s="1"/>
      <c r="F12" s="1">
        <v>10000</v>
      </c>
      <c r="G12" s="1">
        <v>25000</v>
      </c>
    </row>
    <row r="13" spans="2:7" ht="15">
      <c r="B13" s="8"/>
      <c r="C13" s="8"/>
      <c r="D13" s="1"/>
      <c r="E13" s="1"/>
      <c r="F13" s="1"/>
      <c r="G13" s="1"/>
    </row>
    <row r="14" spans="1:7" ht="15.75">
      <c r="A14" s="9" t="s">
        <v>5</v>
      </c>
      <c r="B14" s="8">
        <v>15000</v>
      </c>
      <c r="C14" s="8">
        <v>36000</v>
      </c>
      <c r="D14" s="1">
        <v>40000</v>
      </c>
      <c r="E14" s="1">
        <v>25000</v>
      </c>
      <c r="F14" s="1">
        <v>5000</v>
      </c>
      <c r="G14" s="1">
        <v>3000</v>
      </c>
    </row>
    <row r="15" spans="1:10" ht="15">
      <c r="A15" s="2" t="s">
        <v>8</v>
      </c>
      <c r="B15" s="8"/>
      <c r="C15" s="8">
        <v>12500</v>
      </c>
      <c r="D15" s="8">
        <f>((25000/2))</f>
        <v>12500</v>
      </c>
      <c r="E15" s="1"/>
      <c r="F15" s="1"/>
      <c r="G15" s="1"/>
      <c r="J15" s="51"/>
    </row>
    <row r="16" spans="1:10" ht="15">
      <c r="A16" s="2" t="s">
        <v>37</v>
      </c>
      <c r="B16" s="8">
        <f>((300000*0.2)/12)*0.8</f>
        <v>4000</v>
      </c>
      <c r="C16" s="8">
        <f>((300000*0.2)/12*11)*0.8</f>
        <v>44000</v>
      </c>
      <c r="D16" s="8">
        <f>((300000*0.2)*0.2)</f>
        <v>12000</v>
      </c>
      <c r="E16" s="1"/>
      <c r="F16" s="1"/>
      <c r="G16" s="1"/>
      <c r="J16" s="53">
        <f>300000*0.2</f>
        <v>60000</v>
      </c>
    </row>
    <row r="17" spans="1:7" ht="15">
      <c r="A17" s="2" t="s">
        <v>38</v>
      </c>
      <c r="B17" s="8">
        <v>0</v>
      </c>
      <c r="C17" s="8">
        <v>0</v>
      </c>
      <c r="D17" s="8">
        <f>((200000*0.2))</f>
        <v>40000</v>
      </c>
      <c r="E17" s="1"/>
      <c r="F17" s="1"/>
      <c r="G17" s="1"/>
    </row>
    <row r="18" spans="1:7" ht="15">
      <c r="A18" s="2" t="s">
        <v>39</v>
      </c>
      <c r="B18" s="8">
        <f>((15000*0.05)/12)*0.8</f>
        <v>50</v>
      </c>
      <c r="C18" s="8">
        <f>((15000*0.05)/12*11)*0.8</f>
        <v>550</v>
      </c>
      <c r="D18" s="8">
        <f>((15000*0.05)*0.2)</f>
        <v>150</v>
      </c>
      <c r="E18" s="1"/>
      <c r="F18" s="1"/>
      <c r="G18" s="1"/>
    </row>
    <row r="19" spans="1:10" ht="15">
      <c r="A19" s="2" t="s">
        <v>40</v>
      </c>
      <c r="B19" s="8"/>
      <c r="C19" s="8">
        <f>SUM((B33-190000)/14)*11</f>
        <v>209370.14667817086</v>
      </c>
      <c r="D19" s="1"/>
      <c r="E19" s="1"/>
      <c r="F19" s="1"/>
      <c r="G19" s="1"/>
      <c r="J19" s="1">
        <f>SUM(C8:C19)</f>
        <v>1138891.2424503884</v>
      </c>
    </row>
    <row r="20" spans="1:10" ht="15">
      <c r="A20" s="2" t="s">
        <v>46</v>
      </c>
      <c r="B20" s="8"/>
      <c r="C20" s="8">
        <f>(20*C29)</f>
        <v>225600</v>
      </c>
      <c r="D20" s="1">
        <f>(D29/10)*5</f>
        <v>42693.75</v>
      </c>
      <c r="E20" s="1">
        <f>((1000/5)*3)</f>
        <v>600</v>
      </c>
      <c r="F20" s="1"/>
      <c r="G20" s="1"/>
      <c r="J20" s="1">
        <f>J19/12000</f>
        <v>94.90760353753237</v>
      </c>
    </row>
    <row r="21" spans="1:7" ht="15">
      <c r="A21" s="2" t="s">
        <v>48</v>
      </c>
      <c r="B21" s="8"/>
      <c r="C21" s="1">
        <f>-SUM(720*94.91)</f>
        <v>-68335.2</v>
      </c>
      <c r="D21" s="1"/>
      <c r="E21" s="1"/>
      <c r="F21" s="1"/>
      <c r="G21" s="1"/>
    </row>
    <row r="22" spans="1:10" ht="15">
      <c r="A22" s="2" t="s">
        <v>47</v>
      </c>
      <c r="B22" s="8"/>
      <c r="C22" s="8"/>
      <c r="D22" s="1">
        <f>-SUM(1000*6.1176)</f>
        <v>-6117.6</v>
      </c>
      <c r="E22" s="1"/>
      <c r="F22" s="1"/>
      <c r="G22" s="1"/>
      <c r="J22" s="1">
        <f>SUM(D8:D19)</f>
        <v>522228.90422778256</v>
      </c>
    </row>
    <row r="23" spans="2:10" ht="15">
      <c r="B23" s="1"/>
      <c r="C23" s="1"/>
      <c r="D23" s="1"/>
      <c r="E23" s="1"/>
      <c r="F23" s="1"/>
      <c r="G23" s="1"/>
      <c r="J23" s="54">
        <f>J22/85387.5</f>
        <v>6.115987752631035</v>
      </c>
    </row>
    <row r="24" spans="1:8" ht="15.75">
      <c r="A24" s="10" t="s">
        <v>54</v>
      </c>
      <c r="B24" s="11">
        <f>SUM(B8:B23)</f>
        <v>529050</v>
      </c>
      <c r="C24" s="11">
        <f>SUM(C10:C21)</f>
        <v>839684.9466781709</v>
      </c>
      <c r="D24" s="11">
        <f>SUM(D8:D23)</f>
        <v>558805.0542277825</v>
      </c>
      <c r="E24" s="11">
        <f>SUM(E8:E23)</f>
        <v>31717.6</v>
      </c>
      <c r="F24" s="11">
        <f>SUM(F8:F23)</f>
        <v>93335.2</v>
      </c>
      <c r="G24" s="11">
        <f>SUM(G8:G23)</f>
        <v>30000</v>
      </c>
      <c r="H24" s="11">
        <f>SUM(H8:H23)</f>
        <v>0</v>
      </c>
    </row>
    <row r="25" spans="1:8" ht="15.75">
      <c r="A25" s="4"/>
      <c r="B25" s="6"/>
      <c r="C25" s="6"/>
      <c r="D25" s="6"/>
      <c r="E25" s="6"/>
      <c r="F25" s="6"/>
      <c r="G25" s="6"/>
      <c r="H25" s="6"/>
    </row>
    <row r="26" spans="1:8" ht="47.25">
      <c r="A26" s="4"/>
      <c r="B26" s="6" t="s">
        <v>93</v>
      </c>
      <c r="C26" s="6" t="s">
        <v>94</v>
      </c>
      <c r="D26" s="6" t="s">
        <v>95</v>
      </c>
      <c r="E26" s="6" t="s">
        <v>96</v>
      </c>
      <c r="F26" s="6" t="s">
        <v>97</v>
      </c>
      <c r="G26" s="6" t="s">
        <v>98</v>
      </c>
      <c r="H26" s="6"/>
    </row>
    <row r="27" spans="1:8" ht="15">
      <c r="A27" s="2" t="s">
        <v>41</v>
      </c>
      <c r="B27" s="12">
        <v>30500</v>
      </c>
      <c r="C27" s="13">
        <v>12000</v>
      </c>
      <c r="D27" s="14">
        <f>SUM(D7*5)</f>
        <v>94875</v>
      </c>
      <c r="E27" s="13">
        <f>SUM(E7)</f>
        <v>1000</v>
      </c>
      <c r="F27" s="13">
        <f>SUM(F7)</f>
        <v>720</v>
      </c>
      <c r="G27" s="13">
        <v>2000</v>
      </c>
      <c r="H27" s="13"/>
    </row>
    <row r="28" spans="1:8" ht="15">
      <c r="A28" s="2" t="s">
        <v>49</v>
      </c>
      <c r="B28" s="15">
        <f>SUM(B27*0.05)</f>
        <v>1525</v>
      </c>
      <c r="C28" s="13">
        <f>C27*0.06</f>
        <v>720</v>
      </c>
      <c r="D28" s="14">
        <f>D27*0.1</f>
        <v>9487.5</v>
      </c>
      <c r="E28" s="13"/>
      <c r="F28" s="13"/>
      <c r="G28" s="13"/>
      <c r="H28" s="13"/>
    </row>
    <row r="29" spans="1:8" ht="15">
      <c r="A29" s="2" t="s">
        <v>42</v>
      </c>
      <c r="B29" s="7">
        <f aca="true" t="shared" si="0" ref="B29:G29">SUM(B27-B28)</f>
        <v>28975</v>
      </c>
      <c r="C29" s="7">
        <f t="shared" si="0"/>
        <v>11280</v>
      </c>
      <c r="D29" s="14">
        <f>SUM(D27-D28)</f>
        <v>85387.5</v>
      </c>
      <c r="E29" s="7">
        <f t="shared" si="0"/>
        <v>1000</v>
      </c>
      <c r="F29" s="7">
        <f t="shared" si="0"/>
        <v>720</v>
      </c>
      <c r="G29" s="7">
        <f t="shared" si="0"/>
        <v>2000</v>
      </c>
      <c r="H29" s="7"/>
    </row>
    <row r="30" spans="1:8" ht="15">
      <c r="A30" s="2" t="s">
        <v>3</v>
      </c>
      <c r="B30" s="16">
        <f aca="true" t="shared" si="1" ref="B30:G30">SUM(B24/B29)</f>
        <v>18.258843830888697</v>
      </c>
      <c r="C30" s="16">
        <f>SUM(C24/C29)</f>
        <v>74.44015484735559</v>
      </c>
      <c r="D30" s="16">
        <f>SUM(D24/D29)</f>
        <v>6.5443426055076275</v>
      </c>
      <c r="E30" s="16">
        <f t="shared" si="1"/>
        <v>31.717599999999997</v>
      </c>
      <c r="F30" s="16">
        <f t="shared" si="1"/>
        <v>129.63222222222223</v>
      </c>
      <c r="G30" s="16">
        <f t="shared" si="1"/>
        <v>15</v>
      </c>
      <c r="H30" s="16"/>
    </row>
    <row r="31" spans="2:7" ht="15">
      <c r="B31" s="1"/>
      <c r="C31" s="1"/>
      <c r="D31" s="1"/>
      <c r="E31" s="1"/>
      <c r="F31" s="1"/>
      <c r="G31" s="1"/>
    </row>
    <row r="32" spans="1:11" ht="15.75">
      <c r="A32" s="17" t="s">
        <v>44</v>
      </c>
      <c r="B32" s="15">
        <v>25000</v>
      </c>
      <c r="C32" s="1"/>
      <c r="D32" s="1"/>
      <c r="E32" s="18" t="s">
        <v>84</v>
      </c>
      <c r="F32" s="14"/>
      <c r="G32" s="14"/>
      <c r="I32" s="2"/>
      <c r="K32" s="19"/>
    </row>
    <row r="33" spans="1:11" ht="15">
      <c r="A33" s="2" t="s">
        <v>45</v>
      </c>
      <c r="B33" s="1">
        <f>SUM(B32*B30)</f>
        <v>456471.09577221744</v>
      </c>
      <c r="D33" s="19">
        <f>SUM(B32)</f>
        <v>25000</v>
      </c>
      <c r="E33" s="2" t="s">
        <v>80</v>
      </c>
      <c r="F33" s="20"/>
      <c r="G33" s="20">
        <f>SUM(B33)</f>
        <v>456471.09577221744</v>
      </c>
      <c r="I33" s="2"/>
      <c r="K33" s="19"/>
    </row>
    <row r="34" spans="1:11" ht="15.75">
      <c r="A34" s="17" t="s">
        <v>43</v>
      </c>
      <c r="B34" s="21">
        <f>SUM(B29-B32)</f>
        <v>3975</v>
      </c>
      <c r="D34" s="2" t="s">
        <v>82</v>
      </c>
      <c r="F34" s="20"/>
      <c r="G34" s="22">
        <v>190000</v>
      </c>
      <c r="K34" s="19"/>
    </row>
    <row r="35" spans="1:7" ht="15">
      <c r="A35" s="2" t="s">
        <v>45</v>
      </c>
      <c r="B35" s="1">
        <f>SUM(B30*B34)</f>
        <v>72578.90422778256</v>
      </c>
      <c r="C35" s="19"/>
      <c r="D35" s="19" t="s">
        <v>81</v>
      </c>
      <c r="E35" s="1"/>
      <c r="F35" s="20"/>
      <c r="G35" s="14">
        <f>SUM(G33-G34)</f>
        <v>266471.09577221744</v>
      </c>
    </row>
    <row r="36" spans="2:7" ht="15.75">
      <c r="B36" s="23"/>
      <c r="D36" s="2" t="s">
        <v>83</v>
      </c>
      <c r="F36" s="20"/>
      <c r="G36" s="24">
        <f>SUM(G35/14*11)</f>
        <v>209370.14667817086</v>
      </c>
    </row>
    <row r="37" spans="2:7" ht="15.75">
      <c r="B37" s="23"/>
      <c r="F37" s="20"/>
      <c r="G37" s="25"/>
    </row>
    <row r="38" spans="1:4" ht="15.75">
      <c r="A38" s="17" t="s">
        <v>27</v>
      </c>
      <c r="B38" s="23"/>
      <c r="D38" s="17" t="s">
        <v>32</v>
      </c>
    </row>
    <row r="39" spans="2:7" ht="15">
      <c r="B39" s="23"/>
      <c r="F39" s="2" t="s">
        <v>3</v>
      </c>
      <c r="G39" s="2" t="s">
        <v>33</v>
      </c>
    </row>
    <row r="40" spans="1:10" ht="15">
      <c r="A40" s="2" t="s">
        <v>50</v>
      </c>
      <c r="B40" s="20">
        <f>15000+B34</f>
        <v>18975</v>
      </c>
      <c r="D40" s="2" t="s">
        <v>109</v>
      </c>
      <c r="E40" s="2">
        <v>300</v>
      </c>
      <c r="F40" s="2">
        <f>35000/300</f>
        <v>116.66666666666667</v>
      </c>
      <c r="G40" s="1">
        <f>E40*F40</f>
        <v>35000</v>
      </c>
      <c r="J40" s="1">
        <f>720*20</f>
        <v>14400</v>
      </c>
    </row>
    <row r="41" spans="1:7" ht="15">
      <c r="A41" s="2" t="s">
        <v>28</v>
      </c>
      <c r="B41" s="20">
        <v>5</v>
      </c>
      <c r="D41" s="2" t="s">
        <v>110</v>
      </c>
      <c r="E41" s="26">
        <f>SUM(C29)</f>
        <v>11280</v>
      </c>
      <c r="F41" s="27">
        <f>SUM(C30)</f>
        <v>74.44015484735559</v>
      </c>
      <c r="G41" s="28">
        <f>E41*F41</f>
        <v>839684.946678171</v>
      </c>
    </row>
    <row r="42" spans="1:7" ht="15">
      <c r="A42" s="2" t="s">
        <v>29</v>
      </c>
      <c r="B42" s="20">
        <f>B40*B41</f>
        <v>94875</v>
      </c>
      <c r="D42" s="2" t="s">
        <v>51</v>
      </c>
      <c r="E42" s="2">
        <f>SUM(E40:E41)</f>
        <v>11580</v>
      </c>
      <c r="G42" s="19">
        <f>G40+G41</f>
        <v>874684.946678171</v>
      </c>
    </row>
    <row r="43" spans="1:7" ht="15">
      <c r="A43" s="2" t="s">
        <v>30</v>
      </c>
      <c r="B43" s="20">
        <f>B42*0.1</f>
        <v>9487.5</v>
      </c>
      <c r="D43" s="2" t="s">
        <v>52</v>
      </c>
      <c r="G43" s="1"/>
    </row>
    <row r="44" spans="1:7" ht="15.75">
      <c r="A44" s="2" t="s">
        <v>31</v>
      </c>
      <c r="B44" s="20">
        <f>B42-B43</f>
        <v>85387.5</v>
      </c>
      <c r="D44" s="2" t="s">
        <v>6</v>
      </c>
      <c r="F44" s="17"/>
      <c r="G44" s="1"/>
    </row>
    <row r="45" spans="2:7" ht="15">
      <c r="B45" s="20"/>
      <c r="D45" s="2" t="s">
        <v>107</v>
      </c>
      <c r="E45" s="2">
        <v>500</v>
      </c>
      <c r="F45" s="2">
        <v>300</v>
      </c>
      <c r="G45" s="1">
        <f>E45*F45</f>
        <v>150000</v>
      </c>
    </row>
    <row r="46" spans="1:7" ht="15.75">
      <c r="A46" s="17"/>
      <c r="B46" s="20"/>
      <c r="D46" s="2" t="s">
        <v>108</v>
      </c>
      <c r="G46" s="1">
        <f>E46*F46</f>
        <v>0</v>
      </c>
    </row>
    <row r="47" spans="4:7" ht="15">
      <c r="D47" s="2" t="s">
        <v>53</v>
      </c>
      <c r="E47" s="2">
        <f>SUM(E45:E46)</f>
        <v>500</v>
      </c>
      <c r="F47" s="2">
        <v>550</v>
      </c>
      <c r="G47" s="1">
        <f>E47*F47</f>
        <v>275000</v>
      </c>
    </row>
    <row r="50" ht="15">
      <c r="D50" s="1"/>
    </row>
    <row r="51" spans="4:7" ht="15.75">
      <c r="D51" s="18" t="s">
        <v>86</v>
      </c>
      <c r="E51" s="17" t="s">
        <v>87</v>
      </c>
      <c r="F51" s="17" t="s">
        <v>88</v>
      </c>
      <c r="G51" s="17" t="s">
        <v>89</v>
      </c>
    </row>
    <row r="52" spans="4:7" ht="15">
      <c r="D52" s="1">
        <v>558805.054227783</v>
      </c>
      <c r="E52" s="1">
        <v>31717.6</v>
      </c>
      <c r="F52" s="19">
        <f>F24</f>
        <v>93335.2</v>
      </c>
      <c r="G52" s="19">
        <f>G24</f>
        <v>30000</v>
      </c>
    </row>
    <row r="53" spans="3:7" ht="15">
      <c r="C53" s="2" t="s">
        <v>3</v>
      </c>
      <c r="D53" s="2">
        <v>6.5443426055076275</v>
      </c>
      <c r="E53" s="2">
        <v>31.7176</v>
      </c>
      <c r="F53" s="56">
        <f>F30</f>
        <v>129.63222222222223</v>
      </c>
      <c r="G53" s="56">
        <f>G52/200</f>
        <v>150</v>
      </c>
    </row>
    <row r="54" spans="2:7" ht="15">
      <c r="B54" s="1"/>
      <c r="C54" s="2" t="s">
        <v>111</v>
      </c>
      <c r="D54" s="2">
        <f>D53*2</f>
        <v>13.088685211015255</v>
      </c>
      <c r="E54" s="2">
        <f>E53*2</f>
        <v>63.4352</v>
      </c>
      <c r="F54" s="2">
        <f>F53*2</f>
        <v>259.26444444444445</v>
      </c>
      <c r="G54" s="19">
        <f>G53*2</f>
        <v>300</v>
      </c>
    </row>
    <row r="56" spans="3:5" ht="15">
      <c r="C56" s="2" t="s">
        <v>112</v>
      </c>
      <c r="D56" s="20">
        <f>D29</f>
        <v>85387.5</v>
      </c>
      <c r="E56" s="55">
        <f>E29</f>
        <v>1000</v>
      </c>
    </row>
    <row r="57" spans="3:7" ht="15.75">
      <c r="C57" s="2" t="s">
        <v>113</v>
      </c>
      <c r="D57" s="18">
        <f>D56*D54</f>
        <v>1117610.108455565</v>
      </c>
      <c r="E57" s="18">
        <f>E56*E54</f>
        <v>63435.200000000004</v>
      </c>
      <c r="F57" s="57">
        <f>F29*F54</f>
        <v>186670.4</v>
      </c>
      <c r="G57" s="57">
        <f>200*G54</f>
        <v>60000</v>
      </c>
    </row>
  </sheetData>
  <sheetProtection/>
  <mergeCells count="1">
    <mergeCell ref="A3:H3"/>
  </mergeCells>
  <printOptions/>
  <pageMargins left="0.26" right="0.19" top="0.3" bottom="0.32" header="0.25" footer="0"/>
  <pageSetup horizontalDpi="300" verticalDpi="300"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8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1" width="4.7109375" style="29" customWidth="1"/>
    <col min="2" max="2" width="5.7109375" style="29" customWidth="1"/>
    <col min="3" max="3" width="48.8515625" style="29" customWidth="1"/>
    <col min="4" max="4" width="12.7109375" style="29" customWidth="1"/>
    <col min="5" max="6" width="17.28125" style="35" customWidth="1"/>
    <col min="7" max="16384" width="11.421875" style="29" customWidth="1"/>
  </cols>
  <sheetData>
    <row r="2" spans="1:6" ht="15.75">
      <c r="A2" s="62" t="s">
        <v>100</v>
      </c>
      <c r="B2" s="62"/>
      <c r="C2" s="62"/>
      <c r="D2" s="62"/>
      <c r="E2" s="62"/>
      <c r="F2" s="62"/>
    </row>
    <row r="3" spans="1:6" ht="15.75">
      <c r="A3" s="62" t="s">
        <v>106</v>
      </c>
      <c r="B3" s="62"/>
      <c r="C3" s="62"/>
      <c r="D3" s="62"/>
      <c r="E3" s="62"/>
      <c r="F3" s="62"/>
    </row>
    <row r="4" spans="1:6" ht="18" customHeight="1">
      <c r="A4" s="30"/>
      <c r="B4" s="30"/>
      <c r="C4" s="30"/>
      <c r="D4" s="30"/>
      <c r="E4" s="30"/>
      <c r="F4" s="30"/>
    </row>
    <row r="6" spans="1:6" ht="15.75">
      <c r="A6" s="31" t="s">
        <v>99</v>
      </c>
      <c r="B6" s="60" t="s">
        <v>92</v>
      </c>
      <c r="C6" s="61"/>
      <c r="D6" s="32"/>
      <c r="E6" s="33" t="s">
        <v>11</v>
      </c>
      <c r="F6" s="31" t="s">
        <v>12</v>
      </c>
    </row>
    <row r="7" spans="1:5" ht="15">
      <c r="A7" s="34">
        <v>1</v>
      </c>
      <c r="B7" s="29" t="s">
        <v>10</v>
      </c>
      <c r="E7" s="35">
        <v>950000</v>
      </c>
    </row>
    <row r="8" spans="2:5" ht="15">
      <c r="B8" s="29" t="s">
        <v>59</v>
      </c>
      <c r="E8" s="35">
        <v>25000</v>
      </c>
    </row>
    <row r="9" spans="2:5" ht="15">
      <c r="B9" s="29" t="s">
        <v>60</v>
      </c>
      <c r="E9" s="35">
        <v>850000</v>
      </c>
    </row>
    <row r="10" spans="2:5" ht="15">
      <c r="B10" s="29" t="s">
        <v>62</v>
      </c>
      <c r="E10" s="35">
        <v>125000</v>
      </c>
    </row>
    <row r="11" spans="2:5" ht="15">
      <c r="B11" s="29" t="s">
        <v>55</v>
      </c>
      <c r="E11" s="35">
        <v>300000</v>
      </c>
    </row>
    <row r="12" spans="2:5" ht="15">
      <c r="B12" s="29" t="s">
        <v>61</v>
      </c>
      <c r="E12" s="35">
        <v>300000</v>
      </c>
    </row>
    <row r="13" spans="2:5" ht="15">
      <c r="B13" s="29" t="s">
        <v>56</v>
      </c>
      <c r="E13" s="35">
        <v>200000</v>
      </c>
    </row>
    <row r="14" spans="2:5" ht="15">
      <c r="B14" s="29" t="s">
        <v>63</v>
      </c>
      <c r="E14" s="35">
        <v>35000</v>
      </c>
    </row>
    <row r="15" spans="2:5" ht="15">
      <c r="B15" s="29" t="s">
        <v>57</v>
      </c>
      <c r="E15" s="35">
        <v>15000</v>
      </c>
    </row>
    <row r="16" spans="3:6" ht="15">
      <c r="C16" s="29" t="s">
        <v>58</v>
      </c>
      <c r="F16" s="35">
        <v>60000</v>
      </c>
    </row>
    <row r="17" spans="3:6" ht="15">
      <c r="C17" s="29" t="s">
        <v>34</v>
      </c>
      <c r="F17" s="35">
        <f>2800000-60000</f>
        <v>2740000</v>
      </c>
    </row>
    <row r="18" spans="2:6" ht="16.5" thickBot="1">
      <c r="B18" s="29" t="s">
        <v>104</v>
      </c>
      <c r="E18" s="36">
        <f>SUM(E7:E17)</f>
        <v>2800000</v>
      </c>
      <c r="F18" s="36">
        <f>SUM(F7:F17)</f>
        <v>2800000</v>
      </c>
    </row>
    <row r="19" ht="15.75" thickTop="1"/>
    <row r="20" spans="1:2" ht="15">
      <c r="A20" s="34" t="e">
        <f>SUM(#REF!+1)</f>
        <v>#REF!</v>
      </c>
      <c r="B20" s="38" t="s">
        <v>72</v>
      </c>
    </row>
    <row r="21" spans="2:5" ht="15">
      <c r="B21" s="58" t="s">
        <v>116</v>
      </c>
      <c r="E21" s="35">
        <v>300000</v>
      </c>
    </row>
    <row r="22" spans="2:6" ht="15">
      <c r="B22" s="58" t="s">
        <v>117</v>
      </c>
      <c r="F22" s="35">
        <v>300000</v>
      </c>
    </row>
    <row r="23" ht="15">
      <c r="B23" s="58" t="s">
        <v>118</v>
      </c>
    </row>
    <row r="24" spans="2:6" ht="16.5" thickBot="1">
      <c r="B24" s="58" t="s">
        <v>119</v>
      </c>
      <c r="E24" s="36">
        <f>E21</f>
        <v>300000</v>
      </c>
      <c r="F24" s="36">
        <f>F22</f>
        <v>300000</v>
      </c>
    </row>
    <row r="25" spans="5:6" ht="15.75" thickTop="1">
      <c r="E25" s="29"/>
      <c r="F25" s="29"/>
    </row>
    <row r="26" spans="5:6" ht="15.75">
      <c r="E26" s="37"/>
      <c r="F26" s="37"/>
    </row>
    <row r="27" spans="1:2" ht="15">
      <c r="A27" s="34">
        <f>SUM(A7+1)</f>
        <v>2</v>
      </c>
      <c r="B27" s="38" t="s">
        <v>72</v>
      </c>
    </row>
    <row r="28" spans="2:5" ht="15">
      <c r="B28" s="29" t="s">
        <v>0</v>
      </c>
      <c r="E28" s="35">
        <f>SUM(Costo!B10)</f>
        <v>130000</v>
      </c>
    </row>
    <row r="29" spans="2:5" ht="15">
      <c r="B29" s="29" t="s">
        <v>1</v>
      </c>
      <c r="E29" s="35">
        <f>Costo!B12</f>
        <v>80000</v>
      </c>
    </row>
    <row r="30" spans="2:5" ht="15">
      <c r="B30" s="29" t="s">
        <v>2</v>
      </c>
      <c r="E30" s="35">
        <f>Costo!B14</f>
        <v>15000</v>
      </c>
    </row>
    <row r="31" spans="2:5" ht="15">
      <c r="B31" s="29" t="s">
        <v>8</v>
      </c>
      <c r="E31" s="35">
        <f>Costo!B15</f>
        <v>0</v>
      </c>
    </row>
    <row r="32" spans="2:5" ht="15">
      <c r="B32" s="29" t="s">
        <v>64</v>
      </c>
      <c r="E32" s="35">
        <f>Costo!B16</f>
        <v>4000</v>
      </c>
    </row>
    <row r="33" spans="2:5" ht="15">
      <c r="B33" s="29" t="s">
        <v>65</v>
      </c>
      <c r="E33" s="35">
        <f>SUM(Costo!B18)</f>
        <v>50</v>
      </c>
    </row>
    <row r="34" spans="3:6" ht="15">
      <c r="C34" s="29" t="s">
        <v>58</v>
      </c>
      <c r="F34" s="35">
        <f>SUM(E32:E33)</f>
        <v>4050</v>
      </c>
    </row>
    <row r="35" spans="3:6" ht="15">
      <c r="C35" s="29" t="s">
        <v>9</v>
      </c>
      <c r="F35" s="35">
        <v>130000</v>
      </c>
    </row>
    <row r="36" spans="3:6" ht="15">
      <c r="C36" s="29" t="s">
        <v>13</v>
      </c>
      <c r="F36" s="35">
        <f>SUM(E31)</f>
        <v>0</v>
      </c>
    </row>
    <row r="37" spans="3:6" ht="15">
      <c r="C37" s="29" t="s">
        <v>10</v>
      </c>
      <c r="F37" s="35">
        <f>80000+15000</f>
        <v>95000</v>
      </c>
    </row>
    <row r="38" spans="2:6" ht="16.5" thickBot="1">
      <c r="B38" s="29" t="s">
        <v>68</v>
      </c>
      <c r="E38" s="36">
        <f>SUM(E27:E37)</f>
        <v>229050</v>
      </c>
      <c r="F38" s="36">
        <f>SUM(F27:F37)</f>
        <v>229050</v>
      </c>
    </row>
    <row r="39" ht="15.75" thickTop="1"/>
    <row r="40" spans="5:6" ht="15.75">
      <c r="E40" s="37"/>
      <c r="F40" s="37"/>
    </row>
    <row r="41" spans="1:2" ht="15">
      <c r="A41" s="34">
        <f>SUM(A27+1)</f>
        <v>3</v>
      </c>
      <c r="B41" s="38" t="s">
        <v>66</v>
      </c>
    </row>
    <row r="42" spans="2:5" ht="15">
      <c r="B42" s="29" t="s">
        <v>0</v>
      </c>
      <c r="E42" s="35">
        <f>Costo!B33</f>
        <v>456471.09577221744</v>
      </c>
    </row>
    <row r="43" spans="3:6" ht="15">
      <c r="C43" s="38" t="s">
        <v>72</v>
      </c>
      <c r="F43" s="35">
        <f>E42</f>
        <v>456471.09577221744</v>
      </c>
    </row>
    <row r="44" spans="2:6" ht="16.5" thickBot="1">
      <c r="B44" s="29" t="s">
        <v>67</v>
      </c>
      <c r="E44" s="36">
        <f>SUM(E42:E43)</f>
        <v>456471.09577221744</v>
      </c>
      <c r="F44" s="36">
        <f>SUM(F42:F43)</f>
        <v>456471.09577221744</v>
      </c>
    </row>
    <row r="45" ht="15.75" thickTop="1"/>
    <row r="46" spans="1:2" ht="15">
      <c r="A46" s="34">
        <f>SUM(A41+1)</f>
        <v>4</v>
      </c>
      <c r="B46" s="38" t="s">
        <v>66</v>
      </c>
    </row>
    <row r="47" spans="1:5" ht="15">
      <c r="A47" s="34"/>
      <c r="B47" s="29" t="s">
        <v>0</v>
      </c>
      <c r="E47" s="35">
        <f>SUM(Costo!C10)</f>
        <v>200000</v>
      </c>
    </row>
    <row r="48" spans="1:5" ht="15">
      <c r="A48" s="34"/>
      <c r="B48" s="29" t="s">
        <v>1</v>
      </c>
      <c r="E48" s="35">
        <f>Costo!C12</f>
        <v>180000</v>
      </c>
    </row>
    <row r="49" spans="1:5" ht="15">
      <c r="A49" s="34"/>
      <c r="B49" s="29" t="s">
        <v>2</v>
      </c>
      <c r="E49" s="35">
        <f>Costo!C14</f>
        <v>36000</v>
      </c>
    </row>
    <row r="50" spans="1:5" ht="15">
      <c r="A50" s="34"/>
      <c r="B50" s="29" t="s">
        <v>8</v>
      </c>
      <c r="E50" s="35">
        <f>Costo!C15</f>
        <v>12500</v>
      </c>
    </row>
    <row r="51" spans="1:5" ht="15">
      <c r="A51" s="34"/>
      <c r="B51" s="29" t="s">
        <v>64</v>
      </c>
      <c r="E51" s="35">
        <f>Costo!C16</f>
        <v>44000</v>
      </c>
    </row>
    <row r="52" spans="1:5" ht="15">
      <c r="A52" s="34"/>
      <c r="B52" s="29" t="s">
        <v>65</v>
      </c>
      <c r="E52" s="35">
        <f>SUM(Costo!C18)</f>
        <v>550</v>
      </c>
    </row>
    <row r="53" spans="1:5" ht="15">
      <c r="A53" s="34"/>
      <c r="B53" s="29" t="s">
        <v>40</v>
      </c>
      <c r="E53" s="35">
        <f>SUM(Costo!C19)</f>
        <v>209370.14667817086</v>
      </c>
    </row>
    <row r="54" spans="1:5" ht="15">
      <c r="A54" s="34"/>
      <c r="B54" s="29" t="s">
        <v>46</v>
      </c>
      <c r="E54" s="35">
        <f>SUM(Costo!C20)</f>
        <v>225600</v>
      </c>
    </row>
    <row r="55" spans="1:6" ht="15">
      <c r="A55" s="34"/>
      <c r="C55" s="29" t="s">
        <v>58</v>
      </c>
      <c r="F55" s="35">
        <f>SUM(E51:E52)</f>
        <v>44550</v>
      </c>
    </row>
    <row r="56" spans="1:6" ht="15">
      <c r="A56" s="34"/>
      <c r="C56" s="29" t="s">
        <v>85</v>
      </c>
      <c r="F56" s="35">
        <f>SUM(E53)</f>
        <v>209370.14667817086</v>
      </c>
    </row>
    <row r="57" spans="1:6" ht="15">
      <c r="A57" s="34"/>
      <c r="C57" s="29" t="s">
        <v>9</v>
      </c>
      <c r="F57" s="35">
        <f>SUM(E47)</f>
        <v>200000</v>
      </c>
    </row>
    <row r="58" spans="1:6" ht="15">
      <c r="A58" s="34"/>
      <c r="C58" s="29" t="s">
        <v>13</v>
      </c>
      <c r="F58" s="35">
        <f>SUM(E50)</f>
        <v>12500</v>
      </c>
    </row>
    <row r="59" spans="1:6" ht="15">
      <c r="A59" s="34"/>
      <c r="C59" s="29" t="s">
        <v>10</v>
      </c>
      <c r="F59" s="35">
        <f>SUM(E48+E49+E54)</f>
        <v>441600</v>
      </c>
    </row>
    <row r="60" spans="1:2" ht="15">
      <c r="A60" s="34"/>
      <c r="B60" s="29" t="s">
        <v>69</v>
      </c>
    </row>
    <row r="61" spans="1:6" ht="16.5" thickBot="1">
      <c r="A61" s="34"/>
      <c r="B61" s="29" t="s">
        <v>70</v>
      </c>
      <c r="E61" s="36">
        <f>SUM(E47:E60)</f>
        <v>908020.1466781709</v>
      </c>
      <c r="F61" s="36">
        <f>SUM(F47:F60)</f>
        <v>908020.1466781709</v>
      </c>
    </row>
    <row r="62" spans="1:6" ht="16.5" thickTop="1">
      <c r="A62" s="34"/>
      <c r="E62" s="39"/>
      <c r="F62" s="39"/>
    </row>
    <row r="63" spans="1:6" ht="15.75">
      <c r="A63" s="34"/>
      <c r="E63" s="39"/>
      <c r="F63" s="39"/>
    </row>
    <row r="64" spans="1:2" ht="15">
      <c r="A64" s="34">
        <f>SUM(A46+1)</f>
        <v>5</v>
      </c>
      <c r="B64" s="38" t="s">
        <v>73</v>
      </c>
    </row>
    <row r="65" spans="1:5" ht="15">
      <c r="A65" s="34"/>
      <c r="B65" s="29" t="s">
        <v>0</v>
      </c>
      <c r="E65" s="35">
        <f>SUM(Costo!B35)</f>
        <v>72578.90422778256</v>
      </c>
    </row>
    <row r="66" spans="1:6" ht="15">
      <c r="A66" s="34"/>
      <c r="C66" s="29" t="s">
        <v>7</v>
      </c>
      <c r="F66" s="35">
        <f>SUM(E65)</f>
        <v>72578.90422778256</v>
      </c>
    </row>
    <row r="67" spans="1:6" ht="16.5" thickBot="1">
      <c r="A67" s="34"/>
      <c r="B67" s="29" t="s">
        <v>71</v>
      </c>
      <c r="E67" s="36">
        <f>SUM(E65:E66)</f>
        <v>72578.90422778256</v>
      </c>
      <c r="F67" s="36">
        <f>SUM(F65:F66)</f>
        <v>72578.90422778256</v>
      </c>
    </row>
    <row r="68" spans="1:6" ht="16.5" thickTop="1">
      <c r="A68" s="34"/>
      <c r="E68" s="39"/>
      <c r="F68" s="39"/>
    </row>
    <row r="69" spans="1:6" ht="15.75">
      <c r="A69" s="34"/>
      <c r="E69" s="39"/>
      <c r="F69" s="39"/>
    </row>
    <row r="70" ht="15">
      <c r="A70" s="34"/>
    </row>
    <row r="71" spans="1:2" ht="15">
      <c r="A71" s="34">
        <f>SUM(A64+1)</f>
        <v>6</v>
      </c>
      <c r="B71" s="38" t="s">
        <v>73</v>
      </c>
    </row>
    <row r="72" spans="1:5" ht="15">
      <c r="A72" s="34"/>
      <c r="B72" s="29" t="s">
        <v>0</v>
      </c>
      <c r="E72" s="35">
        <f>SUM(Costo!D10)</f>
        <v>100000</v>
      </c>
    </row>
    <row r="73" spans="1:5" ht="15">
      <c r="A73" s="34"/>
      <c r="B73" s="29" t="s">
        <v>1</v>
      </c>
      <c r="E73" s="35">
        <f>Costo!D12</f>
        <v>120000</v>
      </c>
    </row>
    <row r="74" spans="1:5" ht="15">
      <c r="A74" s="34"/>
      <c r="B74" s="29" t="s">
        <v>2</v>
      </c>
      <c r="E74" s="35">
        <f>Costo!D14</f>
        <v>40000</v>
      </c>
    </row>
    <row r="75" spans="1:5" ht="15">
      <c r="A75" s="34"/>
      <c r="B75" s="29" t="s">
        <v>8</v>
      </c>
      <c r="E75" s="35">
        <f>Costo!D15</f>
        <v>12500</v>
      </c>
    </row>
    <row r="76" spans="1:5" ht="15">
      <c r="A76" s="34"/>
      <c r="B76" s="29" t="s">
        <v>64</v>
      </c>
      <c r="E76" s="35">
        <f>Costo!D16</f>
        <v>12000</v>
      </c>
    </row>
    <row r="77" spans="1:5" ht="15">
      <c r="A77" s="34"/>
      <c r="B77" s="29" t="s">
        <v>75</v>
      </c>
      <c r="E77" s="35">
        <f>Costo!D17</f>
        <v>40000</v>
      </c>
    </row>
    <row r="78" spans="1:5" ht="15">
      <c r="A78" s="34"/>
      <c r="B78" s="29" t="s">
        <v>65</v>
      </c>
      <c r="E78" s="35">
        <f>Costo!D18</f>
        <v>150</v>
      </c>
    </row>
    <row r="79" spans="1:5" ht="15">
      <c r="A79" s="34"/>
      <c r="B79" s="29" t="s">
        <v>46</v>
      </c>
      <c r="E79" s="35">
        <f>Costo!D20</f>
        <v>42693.75</v>
      </c>
    </row>
    <row r="80" spans="1:6" ht="15">
      <c r="A80" s="34"/>
      <c r="C80" s="29" t="s">
        <v>58</v>
      </c>
      <c r="F80" s="35">
        <f>SUM(E76:E78)</f>
        <v>52150</v>
      </c>
    </row>
    <row r="81" spans="1:6" ht="15">
      <c r="A81" s="34"/>
      <c r="C81" s="29" t="s">
        <v>9</v>
      </c>
      <c r="F81" s="35">
        <f>SUM(E72)</f>
        <v>100000</v>
      </c>
    </row>
    <row r="82" spans="1:6" ht="15">
      <c r="A82" s="34"/>
      <c r="C82" s="29" t="s">
        <v>13</v>
      </c>
      <c r="F82" s="35">
        <f>SUM(E75)</f>
        <v>12500</v>
      </c>
    </row>
    <row r="83" spans="1:6" ht="15">
      <c r="A83" s="34"/>
      <c r="C83" s="29" t="s">
        <v>10</v>
      </c>
      <c r="F83" s="35">
        <f>SUM(E73+E74+E79)</f>
        <v>202693.75</v>
      </c>
    </row>
    <row r="84" spans="1:2" ht="15">
      <c r="A84" s="34"/>
      <c r="B84" s="29" t="s">
        <v>76</v>
      </c>
    </row>
    <row r="85" spans="1:6" ht="16.5" thickBot="1">
      <c r="A85" s="34"/>
      <c r="B85" s="29" t="s">
        <v>77</v>
      </c>
      <c r="E85" s="36">
        <f>SUM(E72:E84)</f>
        <v>367343.75</v>
      </c>
      <c r="F85" s="36">
        <f>SUM(F72:F84)</f>
        <v>367343.75</v>
      </c>
    </row>
    <row r="86" ht="15.75" thickTop="1">
      <c r="A86" s="34"/>
    </row>
    <row r="87" ht="15">
      <c r="A87" s="34"/>
    </row>
    <row r="88" spans="1:2" ht="15">
      <c r="A88" s="34">
        <f>SUM(A71+1)</f>
        <v>7</v>
      </c>
      <c r="B88" s="38" t="s">
        <v>47</v>
      </c>
    </row>
    <row r="89" spans="1:5" ht="15">
      <c r="A89" s="34"/>
      <c r="B89" s="29" t="s">
        <v>0</v>
      </c>
      <c r="E89" s="35">
        <f>SUM(Costo!E8)</f>
        <v>6117.6</v>
      </c>
    </row>
    <row r="90" spans="1:5" ht="15">
      <c r="A90" s="34"/>
      <c r="B90" s="29" t="s">
        <v>5</v>
      </c>
      <c r="E90" s="35">
        <f>SUM(Costo!E14)</f>
        <v>25000</v>
      </c>
    </row>
    <row r="91" spans="1:5" ht="15">
      <c r="A91" s="34"/>
      <c r="B91" s="29" t="s">
        <v>46</v>
      </c>
      <c r="E91" s="35">
        <f>SUM(Costo!E20)</f>
        <v>600</v>
      </c>
    </row>
    <row r="92" spans="1:6" ht="15">
      <c r="A92" s="34"/>
      <c r="C92" s="29" t="s">
        <v>10</v>
      </c>
      <c r="F92" s="35">
        <f>SUM(E90:E91)</f>
        <v>25600</v>
      </c>
    </row>
    <row r="93" spans="3:6" ht="15">
      <c r="C93" s="38" t="s">
        <v>73</v>
      </c>
      <c r="F93" s="35">
        <f>SUM(E89)</f>
        <v>6117.6</v>
      </c>
    </row>
    <row r="94" spans="2:6" ht="16.5" thickBot="1">
      <c r="B94" s="29" t="s">
        <v>74</v>
      </c>
      <c r="E94" s="36">
        <f>SUM(E89:E93)</f>
        <v>31717.6</v>
      </c>
      <c r="F94" s="36">
        <f>SUM(F89:F93)</f>
        <v>31717.6</v>
      </c>
    </row>
    <row r="95" ht="9.75" customHeight="1" thickTop="1"/>
    <row r="96" ht="4.5" customHeight="1" hidden="1">
      <c r="A96" s="34"/>
    </row>
    <row r="97" spans="1:2" ht="15" hidden="1">
      <c r="A97" s="34">
        <f>SUM(A88+1)</f>
        <v>8</v>
      </c>
      <c r="B97" s="29" t="s">
        <v>14</v>
      </c>
    </row>
    <row r="98" spans="3:6" ht="15" hidden="1">
      <c r="C98" s="29" t="s">
        <v>7</v>
      </c>
      <c r="F98" s="35">
        <f>E97</f>
        <v>0</v>
      </c>
    </row>
    <row r="99" spans="5:6" ht="16.5" hidden="1" thickBot="1">
      <c r="E99" s="36">
        <f>SUM(E97:E98)</f>
        <v>0</v>
      </c>
      <c r="F99" s="36">
        <f>SUM(F97:F98)</f>
        <v>0</v>
      </c>
    </row>
    <row r="102" spans="1:2" ht="15">
      <c r="A102" s="34">
        <f>SUM(A97+1)</f>
        <v>9</v>
      </c>
      <c r="B102" s="38" t="s">
        <v>48</v>
      </c>
    </row>
    <row r="103" spans="2:5" ht="15">
      <c r="B103" s="29" t="s">
        <v>0</v>
      </c>
      <c r="D103" s="35">
        <f>SUM(Costo!F10)</f>
        <v>10000</v>
      </c>
      <c r="E103" s="35">
        <f>SUM(D103:D104)</f>
        <v>78335.2</v>
      </c>
    </row>
    <row r="104" spans="3:4" ht="15">
      <c r="C104" s="29" t="s">
        <v>78</v>
      </c>
      <c r="D104" s="40">
        <f>SUM(Costo!F8)</f>
        <v>68335.2</v>
      </c>
    </row>
    <row r="105" spans="2:5" ht="15">
      <c r="B105" s="29" t="s">
        <v>1</v>
      </c>
      <c r="E105" s="35">
        <f>SUM(Costo!F12)</f>
        <v>10000</v>
      </c>
    </row>
    <row r="106" spans="2:5" ht="15">
      <c r="B106" s="29" t="s">
        <v>5</v>
      </c>
      <c r="E106" s="35">
        <f>SUM(Costo!F14)</f>
        <v>5000</v>
      </c>
    </row>
    <row r="107" spans="3:6" ht="15">
      <c r="C107" s="38" t="s">
        <v>66</v>
      </c>
      <c r="F107" s="35">
        <f>SUM(D104)</f>
        <v>68335.2</v>
      </c>
    </row>
    <row r="108" spans="3:6" ht="15">
      <c r="C108" s="29" t="s">
        <v>9</v>
      </c>
      <c r="F108" s="35">
        <f>SUM(D103)</f>
        <v>10000</v>
      </c>
    </row>
    <row r="109" spans="3:6" ht="15">
      <c r="C109" s="29" t="s">
        <v>10</v>
      </c>
      <c r="F109" s="35">
        <f>SUM(E105:E106)</f>
        <v>15000</v>
      </c>
    </row>
    <row r="110" spans="5:6" ht="16.5" thickBot="1">
      <c r="E110" s="36">
        <f>SUM(E102:E109)</f>
        <v>93335.2</v>
      </c>
      <c r="F110" s="36">
        <f>SUM(F102:F109)</f>
        <v>93335.2</v>
      </c>
    </row>
    <row r="111" ht="15.75" thickTop="1">
      <c r="A111" s="38"/>
    </row>
    <row r="112" spans="1:2" ht="15">
      <c r="A112" s="34">
        <f>SUM(A102+1)</f>
        <v>10</v>
      </c>
      <c r="B112" s="38" t="s">
        <v>79</v>
      </c>
    </row>
    <row r="113" spans="2:5" ht="15">
      <c r="B113" s="29" t="s">
        <v>0</v>
      </c>
      <c r="D113" s="35"/>
      <c r="E113" s="35">
        <f>SUM(Costo!G10)</f>
        <v>2000</v>
      </c>
    </row>
    <row r="114" spans="2:7" ht="15">
      <c r="B114" s="29" t="s">
        <v>1</v>
      </c>
      <c r="E114" s="35">
        <f>SUM(Costo!G12)</f>
        <v>25000</v>
      </c>
      <c r="G114" s="38"/>
    </row>
    <row r="115" spans="2:8" ht="15">
      <c r="B115" s="29" t="s">
        <v>5</v>
      </c>
      <c r="E115" s="35">
        <f>SUM(Costo!G14)</f>
        <v>3000</v>
      </c>
      <c r="G115" s="35"/>
      <c r="H115" s="35"/>
    </row>
    <row r="116" spans="3:8" ht="15">
      <c r="C116" s="38" t="s">
        <v>105</v>
      </c>
      <c r="F116" s="35">
        <f>SUM(E113)</f>
        <v>2000</v>
      </c>
      <c r="H116" s="38"/>
    </row>
    <row r="117" spans="3:6" ht="15">
      <c r="C117" s="29" t="s">
        <v>10</v>
      </c>
      <c r="F117" s="35">
        <f>SUM(E114:E115)</f>
        <v>28000</v>
      </c>
    </row>
    <row r="118" spans="5:6" ht="16.5" thickBot="1">
      <c r="E118" s="36">
        <f>SUM(E112:E117)</f>
        <v>30000</v>
      </c>
      <c r="F118" s="36">
        <f>SUM(F112:F117)</f>
        <v>30000</v>
      </c>
    </row>
    <row r="119" ht="15.75" thickTop="1"/>
  </sheetData>
  <sheetProtection/>
  <mergeCells count="3">
    <mergeCell ref="B6:C6"/>
    <mergeCell ref="A2:F2"/>
    <mergeCell ref="A3:F3"/>
  </mergeCells>
  <printOptions/>
  <pageMargins left="0.62" right="0.52" top="0.8" bottom="0.74" header="0.3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9">
      <selection activeCell="B33" sqref="B33"/>
    </sheetView>
  </sheetViews>
  <sheetFormatPr defaultColWidth="11.421875" defaultRowHeight="12.75"/>
  <cols>
    <col min="1" max="1" width="32.57421875" style="2" customWidth="1"/>
    <col min="2" max="3" width="22.28125" style="1" customWidth="1"/>
    <col min="4" max="4" width="2.28125" style="2" customWidth="1"/>
    <col min="5" max="5" width="18.140625" style="2" customWidth="1"/>
    <col min="6" max="6" width="30.421875" style="2" customWidth="1"/>
    <col min="7" max="7" width="18.140625" style="1" customWidth="1"/>
    <col min="8" max="16384" width="11.421875" style="2" customWidth="1"/>
  </cols>
  <sheetData>
    <row r="1" spans="1:3" ht="15.75">
      <c r="A1" s="59" t="s">
        <v>100</v>
      </c>
      <c r="B1" s="59"/>
      <c r="C1" s="59"/>
    </row>
    <row r="2" spans="1:3" ht="15">
      <c r="A2" s="64" t="s">
        <v>101</v>
      </c>
      <c r="B2" s="64"/>
      <c r="C2" s="64"/>
    </row>
    <row r="3" spans="1:3" ht="15">
      <c r="A3" s="64"/>
      <c r="B3" s="64"/>
      <c r="C3" s="64"/>
    </row>
    <row r="4" spans="1:3" ht="15">
      <c r="A4" s="64" t="s">
        <v>102</v>
      </c>
      <c r="B4" s="64"/>
      <c r="C4" s="64"/>
    </row>
    <row r="5" spans="1:3" ht="15">
      <c r="A5" s="41"/>
      <c r="B5" s="41"/>
      <c r="C5" s="41"/>
    </row>
    <row r="6" spans="1:3" ht="15">
      <c r="A6" s="63" t="s">
        <v>6</v>
      </c>
      <c r="B6" s="63"/>
      <c r="C6" s="1">
        <f>SUM(B7:B11)</f>
        <v>1577715.708455565</v>
      </c>
    </row>
    <row r="7" spans="1:4" ht="15">
      <c r="A7" s="2" t="s">
        <v>114</v>
      </c>
      <c r="B7" s="8">
        <f>Costo!G45</f>
        <v>150000</v>
      </c>
      <c r="C7" s="8"/>
      <c r="D7" s="42"/>
    </row>
    <row r="8" spans="1:4" ht="15">
      <c r="A8" s="2" t="s">
        <v>115</v>
      </c>
      <c r="B8" s="8">
        <f>Costo!D57</f>
        <v>1117610.108455565</v>
      </c>
      <c r="C8" s="8"/>
      <c r="D8" s="42"/>
    </row>
    <row r="9" spans="1:4" ht="15">
      <c r="A9" s="2" t="s">
        <v>15</v>
      </c>
      <c r="B9" s="8">
        <f>Costo!E57</f>
        <v>63435.200000000004</v>
      </c>
      <c r="C9" s="8"/>
      <c r="D9" s="42"/>
    </row>
    <row r="10" spans="1:4" ht="15">
      <c r="A10" s="2" t="s">
        <v>16</v>
      </c>
      <c r="B10" s="8">
        <f>Costo!F57</f>
        <v>186670.4</v>
      </c>
      <c r="C10" s="8"/>
      <c r="D10" s="42"/>
    </row>
    <row r="11" spans="1:4" ht="15">
      <c r="A11" s="2" t="s">
        <v>17</v>
      </c>
      <c r="B11" s="8">
        <f>Costo!G57</f>
        <v>60000</v>
      </c>
      <c r="C11" s="8"/>
      <c r="D11" s="42"/>
    </row>
    <row r="12" spans="2:4" ht="15">
      <c r="B12" s="8"/>
      <c r="C12" s="8"/>
      <c r="D12" s="42"/>
    </row>
    <row r="13" spans="1:9" ht="15">
      <c r="A13" s="44" t="s">
        <v>18</v>
      </c>
      <c r="B13" s="8"/>
      <c r="C13" s="8">
        <f>SUM(B14:B18)</f>
        <v>748857.8542277829</v>
      </c>
      <c r="D13" s="42"/>
      <c r="I13" s="19"/>
    </row>
    <row r="14" spans="1:9" ht="15">
      <c r="A14" s="2" t="s">
        <v>114</v>
      </c>
      <c r="B14" s="8">
        <f>Costo!G40</f>
        <v>35000</v>
      </c>
      <c r="C14" s="8"/>
      <c r="D14" s="42"/>
      <c r="I14" s="19"/>
    </row>
    <row r="15" spans="1:9" ht="15">
      <c r="A15" s="2" t="s">
        <v>115</v>
      </c>
      <c r="B15" s="8">
        <f>Costo!D52</f>
        <v>558805.054227783</v>
      </c>
      <c r="C15" s="8"/>
      <c r="D15" s="42"/>
      <c r="I15" s="19"/>
    </row>
    <row r="16" spans="1:4" ht="15">
      <c r="A16" s="2" t="s">
        <v>15</v>
      </c>
      <c r="B16" s="8">
        <f>Costo!E52</f>
        <v>31717.6</v>
      </c>
      <c r="C16" s="8"/>
      <c r="D16" s="42"/>
    </row>
    <row r="17" spans="1:4" ht="15">
      <c r="A17" s="2" t="s">
        <v>16</v>
      </c>
      <c r="B17" s="8">
        <f>Costo!F52</f>
        <v>93335.2</v>
      </c>
      <c r="C17" s="8"/>
      <c r="D17" s="42"/>
    </row>
    <row r="18" spans="1:4" ht="15">
      <c r="A18" s="2" t="s">
        <v>17</v>
      </c>
      <c r="B18" s="8">
        <f>Costo!G52</f>
        <v>30000</v>
      </c>
      <c r="C18" s="8"/>
      <c r="D18" s="42"/>
    </row>
    <row r="19" spans="1:4" ht="15">
      <c r="A19" s="41" t="s">
        <v>19</v>
      </c>
      <c r="B19" s="8"/>
      <c r="C19" s="8">
        <f>C6-C13</f>
        <v>828857.854227782</v>
      </c>
      <c r="D19" s="42"/>
    </row>
    <row r="20" spans="2:4" ht="15">
      <c r="B20" s="8"/>
      <c r="C20" s="8"/>
      <c r="D20" s="42"/>
    </row>
    <row r="21" spans="1:4" ht="15">
      <c r="A21" s="2" t="s">
        <v>20</v>
      </c>
      <c r="B21" s="8"/>
      <c r="C21" s="8">
        <v>0</v>
      </c>
      <c r="D21" s="42"/>
    </row>
    <row r="22" spans="1:4" ht="15.75" thickBot="1">
      <c r="A22" s="2" t="s">
        <v>21</v>
      </c>
      <c r="B22" s="8"/>
      <c r="C22" s="43">
        <v>0</v>
      </c>
      <c r="D22" s="42"/>
    </row>
    <row r="23" spans="1:4" ht="15">
      <c r="A23" s="2" t="s">
        <v>22</v>
      </c>
      <c r="B23" s="8"/>
      <c r="C23" s="8">
        <f>C19-C21-C22</f>
        <v>828857.854227782</v>
      </c>
      <c r="D23" s="42"/>
    </row>
    <row r="24" spans="2:4" ht="15">
      <c r="B24" s="8"/>
      <c r="C24" s="8"/>
      <c r="D24" s="42"/>
    </row>
    <row r="25" spans="1:4" ht="15.75" thickBot="1">
      <c r="A25" s="2" t="s">
        <v>23</v>
      </c>
      <c r="B25" s="8"/>
      <c r="C25" s="43">
        <f>C23*0.31</f>
        <v>256945.9348106124</v>
      </c>
      <c r="D25" s="42"/>
    </row>
    <row r="26" spans="1:4" ht="15">
      <c r="A26" s="2" t="s">
        <v>24</v>
      </c>
      <c r="B26" s="8"/>
      <c r="C26" s="8">
        <f>C23-C25</f>
        <v>571911.9194171696</v>
      </c>
      <c r="D26" s="42"/>
    </row>
    <row r="27" spans="2:4" ht="15">
      <c r="B27" s="8"/>
      <c r="C27" s="8"/>
      <c r="D27" s="42"/>
    </row>
    <row r="28" spans="1:4" ht="15">
      <c r="A28" s="2" t="s">
        <v>25</v>
      </c>
      <c r="B28" s="8"/>
      <c r="C28" s="45">
        <f>C26*0.05</f>
        <v>28595.595970858485</v>
      </c>
      <c r="D28" s="42"/>
    </row>
    <row r="29" spans="1:3" ht="16.5" thickBot="1">
      <c r="A29" s="2" t="s">
        <v>26</v>
      </c>
      <c r="C29" s="46">
        <f>C26-C28</f>
        <v>543316.3234463112</v>
      </c>
    </row>
    <row r="30" ht="15.75" thickTop="1"/>
  </sheetData>
  <sheetProtection/>
  <mergeCells count="5">
    <mergeCell ref="A6:B6"/>
    <mergeCell ref="A1:C1"/>
    <mergeCell ref="A2:C2"/>
    <mergeCell ref="A3:C3"/>
    <mergeCell ref="A4:C4"/>
  </mergeCells>
  <printOptions/>
  <pageMargins left="0.64" right="0.7874015748031497" top="1.36" bottom="0.984251968503937" header="0.42" footer="0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Kevin</cp:lastModifiedBy>
  <cp:lastPrinted>2013-04-18T14:45:27Z</cp:lastPrinted>
  <dcterms:created xsi:type="dcterms:W3CDTF">2008-05-01T23:39:49Z</dcterms:created>
  <dcterms:modified xsi:type="dcterms:W3CDTF">2013-05-02T05:57:42Z</dcterms:modified>
  <cp:category/>
  <cp:version/>
  <cp:contentType/>
  <cp:contentStatus/>
</cp:coreProperties>
</file>