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ja de Costos" sheetId="1" r:id="rId1"/>
    <sheet name="Anexos" sheetId="2" r:id="rId2"/>
    <sheet name="Jornalizacion" sheetId="3" r:id="rId3"/>
    <sheet name="Estado de Resultados" sheetId="4" r:id="rId4"/>
  </sheets>
  <definedNames/>
  <calcPr fullCalcOnLoad="1"/>
</workbook>
</file>

<file path=xl/sharedStrings.xml><?xml version="1.0" encoding="utf-8"?>
<sst xmlns="http://schemas.openxmlformats.org/spreadsheetml/2006/main" count="314" uniqueCount="168">
  <si>
    <t>Depreciaciones Acumuladas</t>
  </si>
  <si>
    <t>AGOTAMIENTO POLLONAS</t>
  </si>
  <si>
    <t>Industrialización de Aves</t>
  </si>
  <si>
    <t>Otros costos para crianza de aves de postura HB</t>
  </si>
  <si>
    <t>Unidades Producidas</t>
  </si>
  <si>
    <t xml:space="preserve">Costo Avicola </t>
  </si>
  <si>
    <t>Engorde</t>
  </si>
  <si>
    <t xml:space="preserve">INDUSTRIALIZADA </t>
  </si>
  <si>
    <t>Maquila</t>
  </si>
  <si>
    <t>Inventario Ponedoras de Huevo Rojo</t>
  </si>
  <si>
    <t>Costo Huevo Blanco</t>
  </si>
  <si>
    <t>Inventario Inicial</t>
  </si>
  <si>
    <t>Tipo de Activo</t>
  </si>
  <si>
    <t>Aves Ponedoras de Huevo Rojo</t>
  </si>
  <si>
    <t>Empaque</t>
  </si>
  <si>
    <t>Huevo Blanco</t>
  </si>
  <si>
    <t>Equipo Alimentación de Aves</t>
  </si>
  <si>
    <t>Costo Aves Postura Huevo Blanco</t>
  </si>
  <si>
    <t>%</t>
  </si>
  <si>
    <t>Cierre de las cuentas de Resultados</t>
  </si>
  <si>
    <t>Otros costos</t>
  </si>
  <si>
    <t>[ + ] Producción del Período</t>
  </si>
  <si>
    <t>Capital</t>
  </si>
  <si>
    <t>Costo total Empaque**</t>
  </si>
  <si>
    <t>Costo Aves de Engorde</t>
  </si>
  <si>
    <t>DEL 01 DE ENERO AL 31 DE DICIEMBRE 2010</t>
  </si>
  <si>
    <t>Activo  Corriente</t>
  </si>
  <si>
    <t>Huevo en Incubación para Aves de Engorde</t>
  </si>
  <si>
    <t>Aves HB</t>
  </si>
  <si>
    <t>Víceras</t>
  </si>
  <si>
    <t>Ventas</t>
  </si>
  <si>
    <t>Pérdidas y Ganancias</t>
  </si>
  <si>
    <t>Saldo Inicial (proceso anterior)</t>
  </si>
  <si>
    <t>VENTAS Y COSTO DE VENTAS</t>
  </si>
  <si>
    <t>Aves Industrializadas</t>
  </si>
  <si>
    <t>600,000 - 153,00= 447,000 * 50% este es el costo la venta al doble de su valor</t>
  </si>
  <si>
    <t>Traslado de costos para continuar acumulación</t>
  </si>
  <si>
    <t>Aves de Postura Huevo Blanco</t>
  </si>
  <si>
    <t>Valor</t>
  </si>
  <si>
    <t>Costo Unitarios de Producción</t>
  </si>
  <si>
    <t xml:space="preserve">Huevo en Incubación para Aves de Postura de Huevo Blanco </t>
  </si>
  <si>
    <t>Eq. Alimentación Aves (De Engorde y Ponedoras de Huevo Rojo Equitativo)</t>
  </si>
  <si>
    <t>Defunciónes</t>
  </si>
  <si>
    <t>Estado de Resultados</t>
  </si>
  <si>
    <t>No. Inicial Animales ===&gt;</t>
  </si>
  <si>
    <t>TOTALES</t>
  </si>
  <si>
    <t>Por las ventas del período</t>
  </si>
  <si>
    <t>Costo Huevo Rojo</t>
  </si>
  <si>
    <t>Gallina Industrializada</t>
  </si>
  <si>
    <t>Sub Productos</t>
  </si>
  <si>
    <t>Partidas de Diario</t>
  </si>
  <si>
    <t>Inventario poneroras huevo rojo</t>
  </si>
  <si>
    <t>Distribución de la ganancia del período</t>
  </si>
  <si>
    <t>Aves de Engorde</t>
  </si>
  <si>
    <t>Material de Empaque</t>
  </si>
  <si>
    <t>( - ) Costo de Ventas</t>
  </si>
  <si>
    <t>Costo Avícola</t>
  </si>
  <si>
    <t>Costo de Ventas</t>
  </si>
  <si>
    <t>Inventarios de Producto</t>
  </si>
  <si>
    <t>Aves Engorde</t>
  </si>
  <si>
    <t>Traslado del costo de aves de engorde al siguiente centro</t>
  </si>
  <si>
    <t>POLLONA</t>
  </si>
  <si>
    <t>Víceras de Ave</t>
  </si>
  <si>
    <t>Total</t>
  </si>
  <si>
    <t>para efectuar la venta del 50% de las aves, se tiene que restar el valor agotado</t>
  </si>
  <si>
    <t>Precio de Venta</t>
  </si>
  <si>
    <t>Registro del costo de la producción de huevos</t>
  </si>
  <si>
    <t>Eq. Industrialización de Gallina de Engorde</t>
  </si>
  <si>
    <t>Activo Corriente</t>
  </si>
  <si>
    <t>Gallinaza</t>
  </si>
  <si>
    <t>Deprec.</t>
  </si>
  <si>
    <t>Huevo Rojo</t>
  </si>
  <si>
    <t>Actico no corriente</t>
  </si>
  <si>
    <t>Costo de aves postura huevo Rojo</t>
  </si>
  <si>
    <t>Subtotal</t>
  </si>
  <si>
    <t>Registro de la producción del período</t>
  </si>
  <si>
    <t>Mermas en rendimiento</t>
  </si>
  <si>
    <t>ANEXOS</t>
  </si>
  <si>
    <t>Unidad</t>
  </si>
  <si>
    <t>Inventrio de Aves de Engorde</t>
  </si>
  <si>
    <t>Industrializ.</t>
  </si>
  <si>
    <t>del 01 de enero al 31 de diciembre 2010</t>
  </si>
  <si>
    <t>Aves Ponedoras de Huevo Blanco</t>
  </si>
  <si>
    <t>Activo no correitne</t>
  </si>
  <si>
    <t>Cifras en Quetzales</t>
  </si>
  <si>
    <t>Inventarios</t>
  </si>
  <si>
    <t>Registro del Costo de los Sub Productos</t>
  </si>
  <si>
    <t>Actibo Corriente</t>
  </si>
  <si>
    <t>-------------------- 31 - Dic - 2010 --------------------</t>
  </si>
  <si>
    <t>Libra</t>
  </si>
  <si>
    <t>Caja y Bancos</t>
  </si>
  <si>
    <t>Pda.</t>
  </si>
  <si>
    <t>Inventario de Huevo Rojo</t>
  </si>
  <si>
    <t>Pollonas</t>
  </si>
  <si>
    <t>quintal</t>
  </si>
  <si>
    <t>Mano de Obra Directa</t>
  </si>
  <si>
    <t>Registro del Material de Empaque</t>
  </si>
  <si>
    <t>Unidades Disponibles por Producto al Final del Ejercicio</t>
  </si>
  <si>
    <t>Equipo para Industrialización de Gallina de Engorde</t>
  </si>
  <si>
    <t>-------------------- 01 - Ene - 2010 --------------------</t>
  </si>
  <si>
    <t>Aves de Postura Huevo Rojo</t>
  </si>
  <si>
    <t>Materia Prima</t>
  </si>
  <si>
    <t>Aves HR</t>
  </si>
  <si>
    <t>Aves de</t>
  </si>
  <si>
    <t>Aves Postura</t>
  </si>
  <si>
    <t>Inventario Aves de Engorde</t>
  </si>
  <si>
    <t>Saldo final/Costo Total (Granel)</t>
  </si>
  <si>
    <t>Costos Avícolas Indirectos</t>
  </si>
  <si>
    <t>Descripción</t>
  </si>
  <si>
    <t>Depreciaciónes</t>
  </si>
  <si>
    <t>Original</t>
  </si>
  <si>
    <t>Saldos Finales</t>
  </si>
  <si>
    <t>En Quetzales</t>
  </si>
  <si>
    <t>% de Ventas</t>
  </si>
  <si>
    <t>Roturas</t>
  </si>
  <si>
    <t>Costo</t>
  </si>
  <si>
    <t>Apertura de la contabilidad para el año 2010.</t>
  </si>
  <si>
    <t>EL HUEVO ROJO, S. A.</t>
  </si>
  <si>
    <t>Maquetas de Huevo</t>
  </si>
  <si>
    <t>Insumos</t>
  </si>
  <si>
    <t>Maq. Clasificadora de Huevo (Equitativamente entre Huevo Rojo y Blanco)</t>
  </si>
  <si>
    <t>Registro del costo de engorde de aves</t>
  </si>
  <si>
    <t>Huevo Roto</t>
  </si>
  <si>
    <t>Caja</t>
  </si>
  <si>
    <t xml:space="preserve">Maquinaria Clasificadora de Huevo </t>
  </si>
  <si>
    <t>HOJA DE COSTOS</t>
  </si>
  <si>
    <t>Ganancia por Distribuir</t>
  </si>
  <si>
    <t>Q390,000 - 86,769=  303,231 * 50% este es el costo la venta al doble de su valor</t>
  </si>
  <si>
    <t>Disponibilidades</t>
  </si>
  <si>
    <t>Registro del costo de lo vendido</t>
  </si>
  <si>
    <t>Trasladado a siguiente proceso</t>
  </si>
  <si>
    <t>Registro de la producción de huevos del período</t>
  </si>
  <si>
    <t xml:space="preserve">por el 80%= 6,912 aves </t>
  </si>
  <si>
    <t>Inventario General</t>
  </si>
  <si>
    <t>Gastos Indirectos</t>
  </si>
  <si>
    <t>Crecimiento</t>
  </si>
  <si>
    <t>Postura</t>
  </si>
  <si>
    <t>POSTURA</t>
  </si>
  <si>
    <t>Pollos ponedoras</t>
  </si>
  <si>
    <t xml:space="preserve">     ( - ) Costo de reemplazo</t>
  </si>
  <si>
    <t xml:space="preserve">   =  Agotamiento de 12 meses</t>
  </si>
  <si>
    <t>AGOTAMIENTO MENSUAL</t>
  </si>
  <si>
    <t>AGOTAMIENTO POR NUEVE MESES</t>
  </si>
  <si>
    <t>8 por ave</t>
  </si>
  <si>
    <t>sub producto</t>
  </si>
  <si>
    <t>prod.</t>
  </si>
  <si>
    <t>valor Unitario</t>
  </si>
  <si>
    <t>huevo roto blanco</t>
  </si>
  <si>
    <t>Sub producto huevo roto blanco</t>
  </si>
  <si>
    <t>AGOTAMIENTO POST. HUEVO BLANCO</t>
  </si>
  <si>
    <t>AGOTAMIENTO POST. HUEVO ROJO</t>
  </si>
  <si>
    <t>MURIERON 500</t>
  </si>
  <si>
    <t>MURIERON 400</t>
  </si>
  <si>
    <t>10 por ave</t>
  </si>
  <si>
    <t>AGOTAMIENTO POR DOCE MESES</t>
  </si>
  <si>
    <t xml:space="preserve">   =  Agotamiento de 13 meses</t>
  </si>
  <si>
    <t>huevo roto ROJO</t>
  </si>
  <si>
    <t>Sub producto huevo roto Rojo</t>
  </si>
  <si>
    <t>sub producto/Traslados</t>
  </si>
  <si>
    <t>VALOR DE LA LIBRA DE VICERAS</t>
  </si>
  <si>
    <t>TOTAL SIN</t>
  </si>
  <si>
    <t>EMPAQUE</t>
  </si>
  <si>
    <t>Valor de Agotamiento</t>
  </si>
  <si>
    <t>GANANCIA ANTES DE IMPUESTO</t>
  </si>
  <si>
    <t>RESERVA LEGAL</t>
  </si>
  <si>
    <t>-</t>
  </si>
  <si>
    <t>ISR</t>
  </si>
  <si>
    <t>GANANCIA DEL EJERCICIO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</si>
</sst>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.00;\(#,##0.00\)"/>
    <numFmt numFmtId="165" formatCode="\ #,##0\ ;\(#,##0\)"/>
    <numFmt numFmtId="166" formatCode="&quot;Q&quot;#,##0.00;&quot;Q&quot;\(#,##0.00\)"/>
    <numFmt numFmtId="167" formatCode="&quot;Q&quot;#,##0.00\ ;\(&quot;Q&quot;#,##0.00\)"/>
    <numFmt numFmtId="168" formatCode="0.0"/>
    <numFmt numFmtId="169" formatCode="#,##0.0000_);\(#,##0.0000\)"/>
    <numFmt numFmtId="170" formatCode="_(* #,##0.0000_);_(* \(#,##0.0000\);_(* &quot;-&quot;??_);_(@_)"/>
    <numFmt numFmtId="171" formatCode="_(* #,##0_);_(* \(#,##0\);_(* &quot;-&quot;??_);_(@_)"/>
    <numFmt numFmtId="172" formatCode="0.00000"/>
    <numFmt numFmtId="173" formatCode="0.0000"/>
    <numFmt numFmtId="174" formatCode="0.000"/>
    <numFmt numFmtId="175" formatCode="#,##0.000000_);\(#,##0.000000\)"/>
  </numFmts>
  <fonts count="49"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Times New Roman"/>
      <family val="2"/>
    </font>
    <font>
      <b/>
      <u val="single"/>
      <sz val="10"/>
      <color indexed="8"/>
      <name val="Times New Roman"/>
      <family val="2"/>
    </font>
    <font>
      <u val="single"/>
      <sz val="10"/>
      <color indexed="8"/>
      <name val="Times New Roman"/>
      <family val="2"/>
    </font>
    <font>
      <b/>
      <u val="single"/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4" fontId="2" fillId="0" borderId="11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9" fontId="3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/>
    </xf>
    <xf numFmtId="166" fontId="2" fillId="0" borderId="12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164" fontId="3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6" fontId="7" fillId="0" borderId="10" xfId="0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43" fontId="0" fillId="0" borderId="11" xfId="0" applyNumberFormat="1" applyFont="1" applyFill="1" applyBorder="1" applyAlignment="1">
      <alignment wrapText="1"/>
    </xf>
    <xf numFmtId="43" fontId="13" fillId="0" borderId="0" xfId="48" applyFont="1" applyAlignment="1">
      <alignment/>
    </xf>
    <xf numFmtId="0" fontId="13" fillId="0" borderId="0" xfId="52" applyFont="1">
      <alignment/>
      <protection/>
    </xf>
    <xf numFmtId="4" fontId="13" fillId="0" borderId="0" xfId="48" applyNumberFormat="1" applyFont="1" applyAlignment="1">
      <alignment/>
    </xf>
    <xf numFmtId="43" fontId="12" fillId="0" borderId="0" xfId="48" applyFont="1" applyAlignment="1">
      <alignment/>
    </xf>
    <xf numFmtId="43" fontId="13" fillId="0" borderId="0" xfId="52" applyNumberFormat="1" applyFont="1">
      <alignment/>
      <protection/>
    </xf>
    <xf numFmtId="4" fontId="13" fillId="0" borderId="0" xfId="52" applyNumberFormat="1" applyFont="1">
      <alignment/>
      <protection/>
    </xf>
    <xf numFmtId="4" fontId="13" fillId="0" borderId="0" xfId="52" applyNumberFormat="1" applyFont="1" applyBorder="1">
      <alignment/>
      <protection/>
    </xf>
    <xf numFmtId="4" fontId="12" fillId="0" borderId="13" xfId="52" applyNumberFormat="1" applyFont="1" applyBorder="1">
      <alignment/>
      <protection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vertical="center"/>
    </xf>
    <xf numFmtId="39" fontId="0" fillId="0" borderId="0" xfId="0" applyNumberFormat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wrapText="1"/>
    </xf>
    <xf numFmtId="164" fontId="14" fillId="0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164" fontId="4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M63"/>
  <sheetViews>
    <sheetView tabSelected="1" zoomScalePageLayoutView="0" workbookViewId="0" topLeftCell="C1">
      <selection activeCell="I57" sqref="I57"/>
    </sheetView>
  </sheetViews>
  <sheetFormatPr defaultColWidth="11.421875" defaultRowHeight="15" customHeight="1"/>
  <cols>
    <col min="1" max="1" width="11.421875" style="0" hidden="1" customWidth="1"/>
    <col min="2" max="3" width="11.421875" style="0" customWidth="1"/>
    <col min="4" max="4" width="28.57421875" style="0" customWidth="1"/>
    <col min="5" max="6" width="12.8515625" style="0" customWidth="1"/>
    <col min="7" max="7" width="12.421875" style="0" customWidth="1"/>
    <col min="8" max="8" width="12.8515625" style="0" customWidth="1"/>
    <col min="9" max="9" width="12.57421875" style="0" customWidth="1"/>
    <col min="10" max="10" width="12.140625" style="0" customWidth="1"/>
    <col min="11" max="13" width="13.421875" style="0" customWidth="1"/>
    <col min="15" max="15" width="12.28125" style="0" bestFit="1" customWidth="1"/>
  </cols>
  <sheetData>
    <row r="3" ht="18">
      <c r="D3" s="1" t="s">
        <v>117</v>
      </c>
    </row>
    <row r="4" ht="18">
      <c r="D4" s="1" t="s">
        <v>125</v>
      </c>
    </row>
    <row r="5" ht="15" customHeight="1">
      <c r="D5" s="2" t="s">
        <v>25</v>
      </c>
    </row>
    <row r="6" ht="15" customHeight="1">
      <c r="D6" s="2" t="s">
        <v>112</v>
      </c>
    </row>
    <row r="7" spans="4:13" ht="15" customHeight="1">
      <c r="D7" s="3"/>
      <c r="E7" s="79" t="s">
        <v>137</v>
      </c>
      <c r="F7" s="79"/>
      <c r="G7" s="3" t="s">
        <v>135</v>
      </c>
      <c r="H7" s="40" t="s">
        <v>136</v>
      </c>
      <c r="I7" s="3"/>
      <c r="J7" s="3"/>
      <c r="K7" s="4"/>
      <c r="L7" s="3"/>
      <c r="M7" s="3"/>
    </row>
    <row r="8" spans="4:13" ht="15" customHeight="1">
      <c r="D8" s="5"/>
      <c r="E8" s="6" t="s">
        <v>104</v>
      </c>
      <c r="F8" s="7" t="s">
        <v>115</v>
      </c>
      <c r="G8" s="6" t="s">
        <v>104</v>
      </c>
      <c r="H8" s="7" t="s">
        <v>115</v>
      </c>
      <c r="I8" s="6" t="s">
        <v>103</v>
      </c>
      <c r="J8" s="6" t="s">
        <v>61</v>
      </c>
      <c r="K8" s="78" t="s">
        <v>49</v>
      </c>
      <c r="L8" s="78"/>
      <c r="M8" s="78"/>
    </row>
    <row r="9" spans="4:13" ht="15" customHeight="1">
      <c r="D9" s="8" t="s">
        <v>108</v>
      </c>
      <c r="E9" s="9" t="s">
        <v>71</v>
      </c>
      <c r="F9" s="10" t="s">
        <v>71</v>
      </c>
      <c r="G9" s="9" t="s">
        <v>15</v>
      </c>
      <c r="H9" s="10" t="s">
        <v>15</v>
      </c>
      <c r="I9" s="9" t="s">
        <v>6</v>
      </c>
      <c r="J9" s="9" t="s">
        <v>7</v>
      </c>
      <c r="K9" s="10" t="s">
        <v>122</v>
      </c>
      <c r="L9" s="9" t="s">
        <v>29</v>
      </c>
      <c r="M9" s="9" t="s">
        <v>69</v>
      </c>
    </row>
    <row r="10" spans="4:13" ht="15" customHeight="1">
      <c r="D10" s="11" t="s">
        <v>44</v>
      </c>
      <c r="E10" s="12">
        <v>30000</v>
      </c>
      <c r="F10" s="12"/>
      <c r="G10" s="12">
        <v>50000</v>
      </c>
      <c r="H10" s="12"/>
      <c r="I10" s="12">
        <v>10000</v>
      </c>
      <c r="J10" s="13"/>
      <c r="K10" s="14"/>
      <c r="L10" s="13"/>
      <c r="M10" s="13"/>
    </row>
    <row r="11" spans="4:13" ht="15" customHeight="1">
      <c r="D11" s="15" t="s">
        <v>32</v>
      </c>
      <c r="E11" s="16">
        <v>390000</v>
      </c>
      <c r="F11" s="17"/>
      <c r="G11" s="16">
        <v>500000</v>
      </c>
      <c r="H11" s="57">
        <v>600000</v>
      </c>
      <c r="I11" s="16">
        <v>50000</v>
      </c>
      <c r="J11" s="16">
        <f>K43</f>
        <v>292000</v>
      </c>
      <c r="K11" s="17"/>
      <c r="L11" s="70">
        <f>J25*-1</f>
        <v>28292.181069958846</v>
      </c>
      <c r="M11" s="17"/>
    </row>
    <row r="12" spans="4:11" ht="15" customHeight="1">
      <c r="D12" s="69" t="s">
        <v>148</v>
      </c>
      <c r="H12" s="18">
        <f>-G25</f>
        <v>0</v>
      </c>
      <c r="J12" s="18"/>
      <c r="K12" s="67">
        <f>H25*-1</f>
        <v>30250</v>
      </c>
    </row>
    <row r="13" spans="4:11" ht="15" customHeight="1">
      <c r="D13" s="69" t="s">
        <v>157</v>
      </c>
      <c r="K13" s="67">
        <f>F25*-1</f>
        <v>30150.760000000002</v>
      </c>
    </row>
    <row r="14" spans="4:9" ht="15" customHeight="1">
      <c r="D14" s="19" t="s">
        <v>119</v>
      </c>
      <c r="F14" s="18">
        <v>350000</v>
      </c>
      <c r="H14" s="18">
        <v>200000</v>
      </c>
      <c r="I14" s="18">
        <v>190000</v>
      </c>
    </row>
    <row r="16" spans="4:9" ht="15" customHeight="1">
      <c r="D16" s="19" t="s">
        <v>95</v>
      </c>
      <c r="F16" s="18">
        <v>260000</v>
      </c>
      <c r="H16" s="18">
        <v>220000</v>
      </c>
      <c r="I16" s="18">
        <v>100000</v>
      </c>
    </row>
    <row r="18" ht="15" customHeight="1">
      <c r="D18" s="19" t="s">
        <v>107</v>
      </c>
    </row>
    <row r="19" spans="4:11" ht="15" customHeight="1">
      <c r="D19" s="20" t="s">
        <v>20</v>
      </c>
      <c r="G19" s="18">
        <v>100000</v>
      </c>
      <c r="K19" s="18">
        <v>100000</v>
      </c>
    </row>
    <row r="20" spans="4:8" ht="15" customHeight="1">
      <c r="D20" s="20" t="s">
        <v>1</v>
      </c>
      <c r="F20" s="18">
        <v>86769</v>
      </c>
      <c r="H20" s="18">
        <f>G56</f>
        <v>153000</v>
      </c>
    </row>
    <row r="21" spans="4:13" ht="15" customHeight="1">
      <c r="D21" s="20" t="s">
        <v>109</v>
      </c>
      <c r="E21" s="18">
        <f>Anexos!I11</f>
        <v>0</v>
      </c>
      <c r="F21" s="18">
        <f>Anexos!J11</f>
        <v>57000</v>
      </c>
      <c r="G21" s="18">
        <f>Anexos!K11</f>
        <v>0</v>
      </c>
      <c r="H21" s="18">
        <f>Anexos!L11</f>
        <v>32000</v>
      </c>
      <c r="I21" s="18">
        <f>25000</f>
        <v>25000</v>
      </c>
      <c r="J21" s="18">
        <v>60000</v>
      </c>
      <c r="K21" s="18">
        <f>Anexos!Q11</f>
        <v>0</v>
      </c>
      <c r="L21" s="18">
        <f>Anexos!Q11</f>
        <v>0</v>
      </c>
      <c r="M21" s="18">
        <f>Anexos!R11</f>
        <v>0</v>
      </c>
    </row>
    <row r="22" spans="4:13" ht="15" customHeight="1">
      <c r="D22" s="20" t="s">
        <v>8</v>
      </c>
      <c r="M22" s="18">
        <v>100000</v>
      </c>
    </row>
    <row r="23" spans="4:13" ht="15" customHeight="1">
      <c r="D23" s="20" t="s">
        <v>14</v>
      </c>
      <c r="E23" s="4">
        <v>0</v>
      </c>
      <c r="F23" s="4">
        <f>Anexos!F24</f>
        <v>96000</v>
      </c>
      <c r="G23" s="4">
        <v>0</v>
      </c>
      <c r="H23" s="4">
        <f>Anexos!H24</f>
        <v>28500</v>
      </c>
      <c r="I23" s="4"/>
      <c r="J23" s="4">
        <f>Anexos!J24</f>
        <v>14302</v>
      </c>
      <c r="K23" s="4">
        <v>0</v>
      </c>
      <c r="L23" s="4">
        <v>18000</v>
      </c>
      <c r="M23" s="4">
        <v>0</v>
      </c>
    </row>
    <row r="24" spans="4:13" ht="15" customHeight="1">
      <c r="D24" s="19" t="s">
        <v>74</v>
      </c>
      <c r="E24" s="21">
        <f aca="true" t="shared" si="0" ref="E24:M24">SUM(E11:E23)</f>
        <v>390000</v>
      </c>
      <c r="F24" s="21">
        <f t="shared" si="0"/>
        <v>849769</v>
      </c>
      <c r="G24" s="21">
        <f t="shared" si="0"/>
        <v>600000</v>
      </c>
      <c r="H24" s="21">
        <f>SUM(H14:H23)</f>
        <v>633500</v>
      </c>
      <c r="I24" s="21">
        <f t="shared" si="0"/>
        <v>365000</v>
      </c>
      <c r="J24" s="21">
        <f t="shared" si="0"/>
        <v>366302</v>
      </c>
      <c r="K24" s="21">
        <f>SUM(K11:K23)</f>
        <v>160400.76</v>
      </c>
      <c r="L24" s="21">
        <f>SUM(L11:L23)</f>
        <v>46292.181069958846</v>
      </c>
      <c r="M24" s="21">
        <f t="shared" si="0"/>
        <v>100000</v>
      </c>
    </row>
    <row r="25" spans="4:13" ht="15" customHeight="1">
      <c r="D25" s="20" t="s">
        <v>158</v>
      </c>
      <c r="E25" s="4"/>
      <c r="F25" s="4">
        <f>F40*-1</f>
        <v>-30150.760000000002</v>
      </c>
      <c r="G25" s="4"/>
      <c r="H25" s="4">
        <f>F34*-1</f>
        <v>-30250</v>
      </c>
      <c r="I25" s="4">
        <f>292000*-1</f>
        <v>-292000</v>
      </c>
      <c r="J25" s="4">
        <f>L52*-1</f>
        <v>-28292.181069958846</v>
      </c>
      <c r="K25" s="4"/>
      <c r="L25" s="4"/>
      <c r="M25" s="4"/>
    </row>
    <row r="26" spans="4:13" ht="15" customHeight="1">
      <c r="D26" s="19" t="s">
        <v>106</v>
      </c>
      <c r="E26" s="21">
        <f aca="true" t="shared" si="1" ref="E26:M26">SUM(E24:E25)</f>
        <v>390000</v>
      </c>
      <c r="F26" s="21">
        <f t="shared" si="1"/>
        <v>819618.24</v>
      </c>
      <c r="G26" s="21">
        <f t="shared" si="1"/>
        <v>600000</v>
      </c>
      <c r="H26" s="21">
        <f>SUM(H24:H25)</f>
        <v>603250</v>
      </c>
      <c r="I26" s="21">
        <f t="shared" si="1"/>
        <v>73000</v>
      </c>
      <c r="J26" s="21">
        <f t="shared" si="1"/>
        <v>338009.81893004116</v>
      </c>
      <c r="K26" s="21">
        <f t="shared" si="1"/>
        <v>160400.76</v>
      </c>
      <c r="L26" s="21">
        <f>SUM(L24:L25)</f>
        <v>46292.181069958846</v>
      </c>
      <c r="M26" s="21">
        <f t="shared" si="1"/>
        <v>100000</v>
      </c>
    </row>
    <row r="27" spans="4:13" ht="15" customHeight="1">
      <c r="D27" s="20" t="s">
        <v>4</v>
      </c>
      <c r="E27" s="22">
        <f>Anexos!E21</f>
        <v>29600</v>
      </c>
      <c r="F27" s="22">
        <f>Anexos!F21</f>
        <v>9600</v>
      </c>
      <c r="G27" s="22">
        <f>Anexos!G21</f>
        <v>49500</v>
      </c>
      <c r="H27" s="22">
        <f>Anexos!H21</f>
        <v>5700</v>
      </c>
      <c r="I27" s="22">
        <v>1728</v>
      </c>
      <c r="J27" s="22">
        <v>1430.2</v>
      </c>
      <c r="K27" s="22">
        <f>Anexos!K21</f>
        <v>700</v>
      </c>
      <c r="L27" s="22">
        <f>Anexos!L21</f>
        <v>2500</v>
      </c>
      <c r="M27" s="22">
        <f>Anexos!M21</f>
        <v>40000</v>
      </c>
    </row>
    <row r="28" spans="4:13" ht="15" customHeight="1">
      <c r="D28" s="19" t="s">
        <v>39</v>
      </c>
      <c r="E28" s="23">
        <f aca="true" t="shared" si="2" ref="E28:M28">+E26/E27</f>
        <v>13.175675675675675</v>
      </c>
      <c r="F28" s="23">
        <f>+F26/F27</f>
        <v>85.37689999999999</v>
      </c>
      <c r="G28" s="23">
        <f>+G26/G27</f>
        <v>12.121212121212121</v>
      </c>
      <c r="H28" s="23">
        <f>+H26/H27</f>
        <v>105.83333333333333</v>
      </c>
      <c r="I28" s="23">
        <f t="shared" si="2"/>
        <v>42.245370370370374</v>
      </c>
      <c r="J28" s="23">
        <f t="shared" si="2"/>
        <v>236.33744855967078</v>
      </c>
      <c r="K28" s="23">
        <f>+K26/K27</f>
        <v>229.14394285714286</v>
      </c>
      <c r="L28" s="23">
        <f t="shared" si="2"/>
        <v>18.51687242798354</v>
      </c>
      <c r="M28" s="23">
        <f t="shared" si="2"/>
        <v>2.5</v>
      </c>
    </row>
    <row r="29" spans="5:13" ht="15" customHeight="1">
      <c r="E29" s="17"/>
      <c r="F29" s="17"/>
      <c r="G29" s="17"/>
      <c r="H29" s="17"/>
      <c r="I29" s="17"/>
      <c r="J29" s="17"/>
      <c r="K29" s="17"/>
      <c r="L29" s="17"/>
      <c r="M29" s="17"/>
    </row>
    <row r="31" spans="4:6" ht="15" customHeight="1">
      <c r="D31" t="s">
        <v>144</v>
      </c>
      <c r="E31" t="s">
        <v>145</v>
      </c>
      <c r="F31" t="s">
        <v>146</v>
      </c>
    </row>
    <row r="32" spans="4:6" ht="15" customHeight="1">
      <c r="D32" s="67">
        <f>SUM(H14:H22)</f>
        <v>605000</v>
      </c>
      <c r="E32">
        <v>6000</v>
      </c>
      <c r="F32">
        <f>D32/E32</f>
        <v>100.83333333333333</v>
      </c>
    </row>
    <row r="34" spans="4:6" ht="15" customHeight="1">
      <c r="D34" s="68" t="s">
        <v>147</v>
      </c>
      <c r="E34">
        <v>300</v>
      </c>
      <c r="F34">
        <f>F32*E34</f>
        <v>30250</v>
      </c>
    </row>
    <row r="37" spans="4:6" ht="15" customHeight="1">
      <c r="D37" t="s">
        <v>144</v>
      </c>
      <c r="E37" t="s">
        <v>145</v>
      </c>
      <c r="F37" t="s">
        <v>146</v>
      </c>
    </row>
    <row r="38" spans="4:6" ht="15" customHeight="1">
      <c r="D38" s="67">
        <f>SUM(F14:F21)</f>
        <v>753769</v>
      </c>
      <c r="E38">
        <v>10000</v>
      </c>
      <c r="F38">
        <f>D38/E38</f>
        <v>75.3769</v>
      </c>
    </row>
    <row r="40" spans="4:6" ht="15" customHeight="1">
      <c r="D40" s="68" t="s">
        <v>156</v>
      </c>
      <c r="E40">
        <v>400</v>
      </c>
      <c r="F40">
        <f>F38*E40</f>
        <v>30150.760000000002</v>
      </c>
    </row>
    <row r="43" spans="8:11" ht="15" customHeight="1">
      <c r="H43" s="24" t="s">
        <v>132</v>
      </c>
      <c r="J43" s="67">
        <f>I28</f>
        <v>42.245370370370374</v>
      </c>
      <c r="K43" s="66">
        <f>6912*I28</f>
        <v>292000</v>
      </c>
    </row>
    <row r="45" ht="15" customHeight="1">
      <c r="D45" s="20" t="s">
        <v>64</v>
      </c>
    </row>
    <row r="46" ht="15" customHeight="1">
      <c r="D46" s="20" t="s">
        <v>127</v>
      </c>
    </row>
    <row r="47" ht="15" customHeight="1">
      <c r="D47" s="20" t="s">
        <v>35</v>
      </c>
    </row>
    <row r="49" ht="15" customHeight="1">
      <c r="J49" t="s">
        <v>159</v>
      </c>
    </row>
    <row r="50" spans="10:13" ht="15" customHeight="1">
      <c r="J50" t="s">
        <v>160</v>
      </c>
      <c r="K50" s="67">
        <f>SUM(J11:J21)</f>
        <v>352000</v>
      </c>
      <c r="L50">
        <v>31104</v>
      </c>
      <c r="M50">
        <f>K50/L50</f>
        <v>11.316872427983538</v>
      </c>
    </row>
    <row r="51" spans="4:10" ht="15" customHeight="1">
      <c r="D51" s="58" t="s">
        <v>151</v>
      </c>
      <c r="E51" s="61" t="s">
        <v>149</v>
      </c>
      <c r="F51" s="60"/>
      <c r="G51" s="60"/>
      <c r="J51" t="s">
        <v>161</v>
      </c>
    </row>
    <row r="52" spans="4:12" ht="15" customHeight="1">
      <c r="D52" s="62">
        <v>49500</v>
      </c>
      <c r="E52" s="59" t="s">
        <v>138</v>
      </c>
      <c r="F52" s="63"/>
      <c r="G52" s="63">
        <v>600000</v>
      </c>
      <c r="J52">
        <v>2500</v>
      </c>
      <c r="K52">
        <f>M50</f>
        <v>11.316872427983538</v>
      </c>
      <c r="L52">
        <f>J52*K52</f>
        <v>28292.181069958846</v>
      </c>
    </row>
    <row r="53" spans="4:7" ht="15" customHeight="1" thickBot="1">
      <c r="D53" s="59" t="s">
        <v>139</v>
      </c>
      <c r="E53" s="59" t="s">
        <v>143</v>
      </c>
      <c r="F53" s="63"/>
      <c r="G53" s="64">
        <f>D52*8</f>
        <v>396000</v>
      </c>
    </row>
    <row r="54" spans="4:7" ht="15" customHeight="1" thickBot="1">
      <c r="D54" s="59" t="s">
        <v>140</v>
      </c>
      <c r="E54" s="59"/>
      <c r="F54" s="63"/>
      <c r="G54" s="65">
        <f>G52-G53</f>
        <v>204000</v>
      </c>
    </row>
    <row r="55" spans="4:7" ht="15" customHeight="1">
      <c r="D55" t="s">
        <v>141</v>
      </c>
      <c r="G55" s="66">
        <f>G54/12</f>
        <v>17000</v>
      </c>
    </row>
    <row r="56" spans="4:7" ht="15" customHeight="1">
      <c r="D56" t="s">
        <v>142</v>
      </c>
      <c r="G56" s="66">
        <f>G55*9</f>
        <v>153000</v>
      </c>
    </row>
    <row r="58" spans="4:7" ht="15" customHeight="1">
      <c r="D58" s="58" t="s">
        <v>152</v>
      </c>
      <c r="E58" s="61" t="s">
        <v>150</v>
      </c>
      <c r="F58" s="60"/>
      <c r="G58" s="60"/>
    </row>
    <row r="59" spans="4:7" ht="15" customHeight="1">
      <c r="D59" s="62">
        <v>29600</v>
      </c>
      <c r="E59" s="59" t="s">
        <v>138</v>
      </c>
      <c r="F59" s="63"/>
      <c r="G59" s="63">
        <v>390000</v>
      </c>
    </row>
    <row r="60" spans="4:7" ht="15" customHeight="1" thickBot="1">
      <c r="D60" s="59" t="s">
        <v>139</v>
      </c>
      <c r="E60" s="59" t="s">
        <v>153</v>
      </c>
      <c r="F60" s="63"/>
      <c r="G60" s="64">
        <f>D59*10</f>
        <v>296000</v>
      </c>
    </row>
    <row r="61" spans="4:7" ht="15" customHeight="1" thickBot="1">
      <c r="D61" s="59" t="s">
        <v>155</v>
      </c>
      <c r="E61" s="59"/>
      <c r="F61" s="63"/>
      <c r="G61" s="65">
        <f>G59-G60</f>
        <v>94000</v>
      </c>
    </row>
    <row r="62" spans="4:7" ht="15" customHeight="1">
      <c r="D62" t="s">
        <v>141</v>
      </c>
      <c r="G62" s="66">
        <f>G61/13</f>
        <v>7230.7692307692305</v>
      </c>
    </row>
    <row r="63" spans="4:7" ht="15" customHeight="1">
      <c r="D63" t="s">
        <v>154</v>
      </c>
      <c r="G63" s="66">
        <f>G62*12</f>
        <v>86769.23076923077</v>
      </c>
    </row>
  </sheetData>
  <sheetProtection/>
  <mergeCells count="2">
    <mergeCell ref="K8:M8"/>
    <mergeCell ref="E7:F7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40"/>
  <sheetViews>
    <sheetView zoomScalePageLayoutView="0" workbookViewId="0" topLeftCell="B2">
      <selection activeCell="F46" sqref="F46"/>
    </sheetView>
  </sheetViews>
  <sheetFormatPr defaultColWidth="11.421875" defaultRowHeight="15" customHeight="1"/>
  <cols>
    <col min="1" max="1" width="6.140625" style="0" customWidth="1"/>
    <col min="2" max="4" width="14.00390625" style="0" customWidth="1"/>
    <col min="5" max="5" width="28.28125" style="0" customWidth="1"/>
    <col min="6" max="6" width="14.140625" style="0" customWidth="1"/>
    <col min="7" max="7" width="16.421875" style="0" customWidth="1"/>
    <col min="8" max="13" width="14.140625" style="0" customWidth="1"/>
  </cols>
  <sheetData>
    <row r="4" ht="15" customHeight="1">
      <c r="B4" s="19" t="s">
        <v>77</v>
      </c>
    </row>
    <row r="5" spans="2:13" ht="15" customHeight="1">
      <c r="B5" s="8" t="s">
        <v>109</v>
      </c>
      <c r="C5" s="3"/>
      <c r="D5" s="3"/>
      <c r="E5" s="3"/>
      <c r="F5" s="3"/>
      <c r="G5" s="3"/>
      <c r="H5" s="3"/>
      <c r="I5" s="25"/>
      <c r="J5" s="25"/>
      <c r="K5" s="3"/>
      <c r="L5" s="25"/>
      <c r="M5" s="25"/>
    </row>
    <row r="6" spans="2:13" ht="15" customHeight="1">
      <c r="B6" s="17"/>
      <c r="C6" s="17"/>
      <c r="D6" s="17"/>
      <c r="E6" s="17"/>
      <c r="F6" s="26" t="s">
        <v>38</v>
      </c>
      <c r="G6" s="17"/>
      <c r="H6" s="26" t="s">
        <v>63</v>
      </c>
      <c r="I6" s="26" t="s">
        <v>104</v>
      </c>
      <c r="J6" s="27" t="s">
        <v>115</v>
      </c>
      <c r="K6" s="26" t="s">
        <v>104</v>
      </c>
      <c r="L6" s="27" t="s">
        <v>115</v>
      </c>
      <c r="M6" s="26" t="s">
        <v>103</v>
      </c>
    </row>
    <row r="7" spans="2:13" ht="15" customHeight="1">
      <c r="B7" s="8" t="s">
        <v>12</v>
      </c>
      <c r="C7" s="3"/>
      <c r="D7" s="3"/>
      <c r="E7" s="3"/>
      <c r="F7" s="28" t="s">
        <v>110</v>
      </c>
      <c r="G7" s="29" t="s">
        <v>18</v>
      </c>
      <c r="H7" s="28" t="s">
        <v>70</v>
      </c>
      <c r="I7" s="28" t="s">
        <v>71</v>
      </c>
      <c r="J7" s="29" t="s">
        <v>71</v>
      </c>
      <c r="K7" s="28" t="s">
        <v>15</v>
      </c>
      <c r="L7" s="29" t="s">
        <v>15</v>
      </c>
      <c r="M7" s="28" t="s">
        <v>6</v>
      </c>
    </row>
    <row r="8" spans="2:13" ht="15" customHeight="1">
      <c r="B8" s="5" t="s">
        <v>41</v>
      </c>
      <c r="C8" s="17"/>
      <c r="D8" s="17"/>
      <c r="E8" s="17"/>
      <c r="F8" s="16">
        <v>250000</v>
      </c>
      <c r="G8" s="30">
        <v>0.2</v>
      </c>
      <c r="H8" s="16">
        <f>+F8*G8</f>
        <v>50000</v>
      </c>
      <c r="I8" s="17"/>
      <c r="J8" s="16">
        <f>+H8/2</f>
        <v>25000</v>
      </c>
      <c r="K8" s="17"/>
      <c r="L8" s="17"/>
      <c r="M8" s="16">
        <f>+H8/2</f>
        <v>25000</v>
      </c>
    </row>
    <row r="9" spans="2:12" ht="15" customHeight="1">
      <c r="B9" s="20" t="s">
        <v>120</v>
      </c>
      <c r="F9" s="18">
        <v>320000</v>
      </c>
      <c r="G9" s="31">
        <v>0.2</v>
      </c>
      <c r="H9" s="18">
        <f>+F9*G9</f>
        <v>64000</v>
      </c>
      <c r="J9" s="18">
        <f>+L9</f>
        <v>32000</v>
      </c>
      <c r="L9" s="18">
        <f>+H9/2</f>
        <v>32000</v>
      </c>
    </row>
    <row r="10" spans="2:13" ht="15" customHeight="1">
      <c r="B10" s="3" t="s">
        <v>67</v>
      </c>
      <c r="C10" s="3"/>
      <c r="D10" s="3"/>
      <c r="E10" s="3"/>
      <c r="F10" s="4">
        <v>300000</v>
      </c>
      <c r="G10" s="32">
        <v>0.2</v>
      </c>
      <c r="H10" s="4">
        <f>+F10*G10</f>
        <v>60000</v>
      </c>
      <c r="I10" s="4"/>
      <c r="J10" s="4"/>
      <c r="K10" s="4"/>
      <c r="L10" s="4"/>
      <c r="M10" s="4">
        <f>+H10</f>
        <v>60000</v>
      </c>
    </row>
    <row r="11" spans="2:13" ht="15" customHeight="1">
      <c r="B11" s="17"/>
      <c r="C11" s="17"/>
      <c r="D11" s="15" t="s">
        <v>45</v>
      </c>
      <c r="E11" s="17"/>
      <c r="F11" s="23">
        <f>SUM(F8:F10)</f>
        <v>870000</v>
      </c>
      <c r="G11" s="17"/>
      <c r="H11" s="23">
        <f aca="true" t="shared" si="0" ref="H11:M11">SUM(H8:H10)</f>
        <v>174000</v>
      </c>
      <c r="I11" s="23">
        <f t="shared" si="0"/>
        <v>0</v>
      </c>
      <c r="J11" s="23">
        <f t="shared" si="0"/>
        <v>57000</v>
      </c>
      <c r="K11" s="23">
        <f t="shared" si="0"/>
        <v>0</v>
      </c>
      <c r="L11" s="23">
        <f t="shared" si="0"/>
        <v>32000</v>
      </c>
      <c r="M11" s="23">
        <f t="shared" si="0"/>
        <v>85000</v>
      </c>
    </row>
    <row r="12" spans="6:13" ht="15" customHeight="1">
      <c r="F12" s="17"/>
      <c r="H12" s="17"/>
      <c r="I12" s="17"/>
      <c r="J12" s="17"/>
      <c r="K12" s="17"/>
      <c r="L12" s="17"/>
      <c r="M12" s="17"/>
    </row>
    <row r="13" spans="2:13" ht="15" customHeight="1">
      <c r="B13" s="8" t="s">
        <v>97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2:13" ht="15" customHeight="1">
      <c r="B14" s="5"/>
      <c r="C14" s="26"/>
      <c r="D14" s="27"/>
      <c r="E14" s="26" t="s">
        <v>102</v>
      </c>
      <c r="F14" s="26" t="s">
        <v>71</v>
      </c>
      <c r="G14" s="26" t="s">
        <v>28</v>
      </c>
      <c r="H14" s="27" t="s">
        <v>15</v>
      </c>
      <c r="I14" s="26" t="s">
        <v>59</v>
      </c>
      <c r="J14" s="26" t="s">
        <v>80</v>
      </c>
      <c r="K14" s="27" t="s">
        <v>122</v>
      </c>
      <c r="L14" s="27" t="s">
        <v>29</v>
      </c>
      <c r="M14" s="27" t="s">
        <v>69</v>
      </c>
    </row>
    <row r="15" spans="2:13" ht="15" customHeight="1">
      <c r="B15" s="8" t="s">
        <v>108</v>
      </c>
      <c r="C15" s="28"/>
      <c r="D15" s="29"/>
      <c r="E15" s="28" t="s">
        <v>78</v>
      </c>
      <c r="F15" s="28" t="s">
        <v>123</v>
      </c>
      <c r="G15" s="28" t="s">
        <v>78</v>
      </c>
      <c r="H15" s="29" t="s">
        <v>123</v>
      </c>
      <c r="I15" s="28" t="s">
        <v>78</v>
      </c>
      <c r="J15" s="28" t="s">
        <v>89</v>
      </c>
      <c r="K15" s="29" t="s">
        <v>123</v>
      </c>
      <c r="L15" s="28" t="s">
        <v>89</v>
      </c>
      <c r="M15" s="28" t="s">
        <v>94</v>
      </c>
    </row>
    <row r="16" spans="2:13" ht="15" customHeight="1">
      <c r="B16" s="5" t="s">
        <v>44</v>
      </c>
      <c r="C16" s="33"/>
      <c r="D16" s="33"/>
      <c r="E16" s="33">
        <v>30000</v>
      </c>
      <c r="F16" s="33">
        <v>10000</v>
      </c>
      <c r="G16" s="33">
        <v>50000</v>
      </c>
      <c r="H16" s="33">
        <v>6000</v>
      </c>
      <c r="I16" s="33">
        <v>10000</v>
      </c>
      <c r="J16" s="34">
        <f>-I20*5</f>
        <v>34560</v>
      </c>
      <c r="K16" s="33">
        <f>-H18-E19</f>
        <v>700</v>
      </c>
      <c r="L16" s="34">
        <f>-J20</f>
        <v>2500</v>
      </c>
      <c r="M16" s="34">
        <v>40000</v>
      </c>
    </row>
    <row r="17" spans="2:10" ht="15" customHeight="1">
      <c r="B17" s="20" t="s">
        <v>76</v>
      </c>
      <c r="I17" s="35">
        <f>-I16*0.1</f>
        <v>-1000</v>
      </c>
      <c r="J17" s="35">
        <f>-J16*0.1</f>
        <v>-3456</v>
      </c>
    </row>
    <row r="18" spans="2:8" ht="15" customHeight="1">
      <c r="B18" s="20" t="s">
        <v>114</v>
      </c>
      <c r="F18" s="35">
        <v>-400</v>
      </c>
      <c r="H18" s="35">
        <v>-300</v>
      </c>
    </row>
    <row r="19" spans="2:9" ht="15" customHeight="1">
      <c r="B19" s="20" t="s">
        <v>42</v>
      </c>
      <c r="E19" s="35">
        <v>-400</v>
      </c>
      <c r="G19" s="35">
        <v>-500</v>
      </c>
      <c r="I19" s="35">
        <f>(I16+I17)*-0.04</f>
        <v>-360</v>
      </c>
    </row>
    <row r="20" spans="2:13" ht="15" customHeight="1">
      <c r="B20" s="3" t="s">
        <v>130</v>
      </c>
      <c r="C20" s="25"/>
      <c r="D20" s="25"/>
      <c r="E20" s="25"/>
      <c r="F20" s="25"/>
      <c r="G20" s="25"/>
      <c r="H20" s="25"/>
      <c r="I20" s="22">
        <f>((I16+I17)+I19)*-0.8</f>
        <v>-6912</v>
      </c>
      <c r="J20" s="22">
        <v>-2500</v>
      </c>
      <c r="K20" s="25"/>
      <c r="L20" s="25"/>
      <c r="M20" s="25"/>
    </row>
    <row r="21" spans="2:13" ht="15" customHeight="1">
      <c r="B21" s="11" t="s">
        <v>111</v>
      </c>
      <c r="C21" s="11"/>
      <c r="D21" s="11"/>
      <c r="E21" s="36">
        <f aca="true" t="shared" si="1" ref="E21:M21">SUM(E16:E20)</f>
        <v>29600</v>
      </c>
      <c r="F21" s="36">
        <f t="shared" si="1"/>
        <v>9600</v>
      </c>
      <c r="G21" s="36">
        <f t="shared" si="1"/>
        <v>49500</v>
      </c>
      <c r="H21" s="36">
        <f t="shared" si="1"/>
        <v>5700</v>
      </c>
      <c r="I21" s="36">
        <f t="shared" si="1"/>
        <v>1728</v>
      </c>
      <c r="J21" s="36">
        <f>SUM(J16:J20)</f>
        <v>28604</v>
      </c>
      <c r="K21" s="36">
        <f t="shared" si="1"/>
        <v>700</v>
      </c>
      <c r="L21" s="36">
        <f t="shared" si="1"/>
        <v>2500</v>
      </c>
      <c r="M21" s="36">
        <f t="shared" si="1"/>
        <v>40000</v>
      </c>
    </row>
    <row r="22" spans="2:13" ht="1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0" ht="15" customHeight="1">
      <c r="B23" s="20" t="s">
        <v>54</v>
      </c>
      <c r="F23" s="37">
        <v>10</v>
      </c>
      <c r="H23" s="37">
        <v>5</v>
      </c>
      <c r="J23" s="37">
        <v>10</v>
      </c>
    </row>
    <row r="24" spans="2:10" ht="15" customHeight="1">
      <c r="B24" s="19" t="s">
        <v>23</v>
      </c>
      <c r="F24" s="38">
        <f>+F21*F23</f>
        <v>96000</v>
      </c>
      <c r="H24" s="38">
        <f>+H21*H23</f>
        <v>28500</v>
      </c>
      <c r="J24" s="38">
        <f>(+J21/20)*J23</f>
        <v>14302</v>
      </c>
    </row>
    <row r="25" spans="6:10" ht="15" customHeight="1">
      <c r="F25" s="17"/>
      <c r="H25" s="17"/>
      <c r="J25" s="17"/>
    </row>
    <row r="26" ht="15" customHeight="1">
      <c r="B26" s="19"/>
    </row>
    <row r="28" ht="15" customHeight="1">
      <c r="B28" s="19" t="s">
        <v>33</v>
      </c>
    </row>
    <row r="29" spans="2:13" ht="15" customHeight="1">
      <c r="B29" s="25"/>
      <c r="C29" s="25"/>
      <c r="D29" s="25"/>
      <c r="E29" s="25"/>
      <c r="F29" s="25"/>
      <c r="G29" s="25"/>
      <c r="H29" s="25"/>
      <c r="I29" s="25">
        <v>1727</v>
      </c>
      <c r="J29" s="25"/>
      <c r="K29" s="25"/>
      <c r="L29" s="25"/>
      <c r="M29" s="25"/>
    </row>
    <row r="30" spans="2:13" ht="15" customHeight="1">
      <c r="B30" s="5"/>
      <c r="C30" s="26"/>
      <c r="D30" s="27"/>
      <c r="E30" s="26" t="s">
        <v>102</v>
      </c>
      <c r="F30" s="26" t="s">
        <v>71</v>
      </c>
      <c r="G30" s="26" t="s">
        <v>28</v>
      </c>
      <c r="H30" s="27" t="s">
        <v>15</v>
      </c>
      <c r="I30" s="26" t="s">
        <v>59</v>
      </c>
      <c r="J30" s="26" t="s">
        <v>80</v>
      </c>
      <c r="K30" s="27" t="s">
        <v>122</v>
      </c>
      <c r="L30" s="27" t="s">
        <v>29</v>
      </c>
      <c r="M30" s="27" t="s">
        <v>69</v>
      </c>
    </row>
    <row r="31" spans="2:13" ht="15" customHeight="1">
      <c r="B31" s="8" t="s">
        <v>108</v>
      </c>
      <c r="C31" s="28"/>
      <c r="D31" s="29"/>
      <c r="E31" s="28" t="s">
        <v>78</v>
      </c>
      <c r="F31" s="28" t="s">
        <v>123</v>
      </c>
      <c r="G31" s="28" t="s">
        <v>78</v>
      </c>
      <c r="H31" s="29" t="s">
        <v>123</v>
      </c>
      <c r="I31" s="28" t="s">
        <v>78</v>
      </c>
      <c r="J31" s="28" t="s">
        <v>89</v>
      </c>
      <c r="K31" s="29" t="s">
        <v>123</v>
      </c>
      <c r="L31" s="28" t="s">
        <v>89</v>
      </c>
      <c r="M31" s="28" t="s">
        <v>94</v>
      </c>
    </row>
    <row r="32" spans="2:13" ht="15" customHeight="1">
      <c r="B32" s="5" t="s">
        <v>11</v>
      </c>
      <c r="C32" s="33"/>
      <c r="D32" s="33"/>
      <c r="E32" s="27"/>
      <c r="F32" s="39">
        <v>100000</v>
      </c>
      <c r="G32" s="27"/>
      <c r="H32" s="27"/>
      <c r="I32" s="27"/>
      <c r="J32" s="39"/>
      <c r="K32" s="27"/>
      <c r="L32" s="39"/>
      <c r="M32" s="39"/>
    </row>
    <row r="33" spans="2:13" ht="15" customHeight="1">
      <c r="B33" s="20" t="s">
        <v>21</v>
      </c>
      <c r="E33" s="40">
        <f>'Hoja de Costos'!E26</f>
        <v>390000</v>
      </c>
      <c r="F33" s="40">
        <f>'Hoja de Costos'!F26</f>
        <v>819618.24</v>
      </c>
      <c r="G33" s="40">
        <f>'Hoja de Costos'!G26</f>
        <v>600000</v>
      </c>
      <c r="H33" s="40">
        <f>'Hoja de Costos'!H26</f>
        <v>603250</v>
      </c>
      <c r="I33" s="40">
        <f>'Hoja de Costos'!I26</f>
        <v>73000</v>
      </c>
      <c r="J33" s="40">
        <f>'Hoja de Costos'!J26</f>
        <v>338009.81893004116</v>
      </c>
      <c r="K33" s="40">
        <f>'Hoja de Costos'!K26</f>
        <v>160400.76</v>
      </c>
      <c r="L33" s="40">
        <f>'Hoja de Costos'!L26</f>
        <v>46292.181069958846</v>
      </c>
      <c r="M33" s="40">
        <f>'Hoja de Costos'!M26</f>
        <v>100000</v>
      </c>
    </row>
    <row r="34" spans="2:13" ht="15" customHeight="1">
      <c r="B34" s="20" t="s">
        <v>128</v>
      </c>
      <c r="E34" s="39">
        <f aca="true" t="shared" si="2" ref="E34:M34">SUM(E32:E33)</f>
        <v>390000</v>
      </c>
      <c r="F34" s="39">
        <f t="shared" si="2"/>
        <v>919618.24</v>
      </c>
      <c r="G34" s="39">
        <f t="shared" si="2"/>
        <v>600000</v>
      </c>
      <c r="H34" s="39">
        <f t="shared" si="2"/>
        <v>603250</v>
      </c>
      <c r="I34" s="39">
        <f t="shared" si="2"/>
        <v>73000</v>
      </c>
      <c r="J34" s="39">
        <f t="shared" si="2"/>
        <v>338009.81893004116</v>
      </c>
      <c r="K34" s="39">
        <f t="shared" si="2"/>
        <v>160400.76</v>
      </c>
      <c r="L34" s="39">
        <f t="shared" si="2"/>
        <v>46292.181069958846</v>
      </c>
      <c r="M34" s="39">
        <f t="shared" si="2"/>
        <v>100000</v>
      </c>
    </row>
    <row r="35" spans="2:7" ht="15" customHeight="1">
      <c r="B35" s="20" t="s">
        <v>162</v>
      </c>
      <c r="E35" s="71">
        <f>-'Hoja de Costos'!F20</f>
        <v>-86769</v>
      </c>
      <c r="G35" s="71">
        <f>-'Hoja de Costos'!H20</f>
        <v>-153000</v>
      </c>
    </row>
    <row r="36" spans="5:13" ht="15" customHeight="1">
      <c r="E36" s="73">
        <f>E34+E35</f>
        <v>303231</v>
      </c>
      <c r="G36" s="73">
        <f>G34+G35</f>
        <v>447000</v>
      </c>
      <c r="I36" s="41">
        <v>1</v>
      </c>
      <c r="J36" s="41">
        <v>1</v>
      </c>
      <c r="K36" s="41">
        <v>1</v>
      </c>
      <c r="L36" s="41">
        <v>1</v>
      </c>
      <c r="M36" s="41">
        <v>1</v>
      </c>
    </row>
    <row r="37" spans="2:13" ht="15" customHeight="1">
      <c r="B37" s="20" t="s">
        <v>113</v>
      </c>
      <c r="E37" s="41">
        <v>0.5</v>
      </c>
      <c r="F37" s="41">
        <v>0.9</v>
      </c>
      <c r="G37" s="41">
        <v>0.5</v>
      </c>
      <c r="H37" s="41">
        <v>1</v>
      </c>
      <c r="I37" s="4"/>
      <c r="J37" s="4"/>
      <c r="K37" s="4"/>
      <c r="L37" s="4"/>
      <c r="M37" s="4"/>
    </row>
    <row r="38" spans="2:13" ht="15" customHeight="1">
      <c r="B38" s="20" t="s">
        <v>57</v>
      </c>
      <c r="E38" s="74">
        <f>E36*E37</f>
        <v>151615.5</v>
      </c>
      <c r="F38" s="42">
        <f>+F34*F37</f>
        <v>827656.416</v>
      </c>
      <c r="G38" s="76">
        <f>G36*G37</f>
        <v>223500</v>
      </c>
      <c r="H38" s="42">
        <f>+H34*H37</f>
        <v>603250</v>
      </c>
      <c r="I38" s="42">
        <f>+I34*I36</f>
        <v>73000</v>
      </c>
      <c r="J38" s="42">
        <f>+J34*J36</f>
        <v>338009.81893004116</v>
      </c>
      <c r="K38" s="42">
        <f>+K34*K36</f>
        <v>160400.76</v>
      </c>
      <c r="L38" s="42">
        <f>+L34*L36</f>
        <v>46292.181069958846</v>
      </c>
      <c r="M38" s="42">
        <f>+M34*M36</f>
        <v>100000</v>
      </c>
    </row>
    <row r="39" spans="5:13" ht="15" customHeight="1">
      <c r="E39" s="75"/>
      <c r="F39" s="43"/>
      <c r="G39" s="75"/>
      <c r="H39" s="43"/>
      <c r="I39" s="43"/>
      <c r="J39" s="43"/>
      <c r="K39" s="43"/>
      <c r="L39" s="43"/>
      <c r="M39" s="43"/>
    </row>
    <row r="40" spans="2:13" ht="15" customHeight="1">
      <c r="B40" s="20" t="s">
        <v>65</v>
      </c>
      <c r="E40" s="74">
        <f>+E38*2</f>
        <v>303231</v>
      </c>
      <c r="F40" s="42">
        <f>((500+F21)*0.9)*600</f>
        <v>5454000</v>
      </c>
      <c r="G40" s="74">
        <f>+G38*2</f>
        <v>447000</v>
      </c>
      <c r="H40" s="42">
        <f aca="true" t="shared" si="3" ref="H40:M40">+H38*2</f>
        <v>1206500</v>
      </c>
      <c r="I40" s="42">
        <f t="shared" si="3"/>
        <v>146000</v>
      </c>
      <c r="J40" s="42">
        <f t="shared" si="3"/>
        <v>676019.6378600823</v>
      </c>
      <c r="K40" s="42">
        <f t="shared" si="3"/>
        <v>320801.52</v>
      </c>
      <c r="L40" s="42">
        <f t="shared" si="3"/>
        <v>92584.36213991769</v>
      </c>
      <c r="M40" s="42">
        <f t="shared" si="3"/>
        <v>200000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K151"/>
  <sheetViews>
    <sheetView zoomScalePageLayoutView="0" workbookViewId="0" topLeftCell="A1">
      <selection activeCell="O14" sqref="O14"/>
    </sheetView>
  </sheetViews>
  <sheetFormatPr defaultColWidth="11.421875" defaultRowHeight="15" customHeight="1"/>
  <cols>
    <col min="2" max="2" width="1.28515625" style="0" customWidth="1"/>
    <col min="3" max="3" width="5.421875" style="0" customWidth="1"/>
    <col min="4" max="4" width="3.57421875" style="0" customWidth="1"/>
    <col min="5" max="5" width="12.8515625" style="0" customWidth="1"/>
    <col min="6" max="6" width="13.421875" style="0" customWidth="1"/>
    <col min="7" max="7" width="15.8515625" style="0" customWidth="1"/>
    <col min="8" max="8" width="15.28125" style="0" customWidth="1"/>
    <col min="9" max="9" width="19.140625" style="0" customWidth="1"/>
    <col min="10" max="10" width="17.421875" style="0" customWidth="1"/>
    <col min="11" max="11" width="10.57421875" style="0" hidden="1" customWidth="1"/>
  </cols>
  <sheetData>
    <row r="3" ht="18">
      <c r="C3" s="44" t="str">
        <f>'Hoja de Costos'!D3</f>
        <v>EL HUEVO ROJO, S. A.</v>
      </c>
    </row>
    <row r="4" ht="18">
      <c r="C4" s="44" t="s">
        <v>50</v>
      </c>
    </row>
    <row r="6" spans="3:8" ht="15" customHeight="1">
      <c r="C6" s="45" t="s">
        <v>91</v>
      </c>
      <c r="D6" s="45">
        <v>1</v>
      </c>
      <c r="E6" s="80" t="s">
        <v>99</v>
      </c>
      <c r="F6" s="80"/>
      <c r="G6" s="80"/>
      <c r="H6" s="80"/>
    </row>
    <row r="7" spans="5:9" ht="15" customHeight="1">
      <c r="E7" s="45" t="s">
        <v>90</v>
      </c>
      <c r="I7" s="46">
        <v>480000</v>
      </c>
    </row>
    <row r="8" spans="5:9" ht="15" customHeight="1">
      <c r="E8" s="45" t="s">
        <v>27</v>
      </c>
      <c r="I8" s="46">
        <v>50000</v>
      </c>
    </row>
    <row r="9" spans="5:9" ht="15" customHeight="1">
      <c r="E9" s="45" t="s">
        <v>40</v>
      </c>
      <c r="I9" s="46">
        <v>500000</v>
      </c>
    </row>
    <row r="10" spans="5:9" ht="15" customHeight="1">
      <c r="E10" s="45" t="s">
        <v>9</v>
      </c>
      <c r="I10" s="46">
        <v>390000</v>
      </c>
    </row>
    <row r="11" spans="5:9" ht="15" customHeight="1">
      <c r="E11" s="45" t="s">
        <v>92</v>
      </c>
      <c r="I11" s="46">
        <v>100000</v>
      </c>
    </row>
    <row r="12" spans="5:9" ht="15" customHeight="1">
      <c r="E12" s="45" t="s">
        <v>133</v>
      </c>
      <c r="I12" s="46">
        <v>890000</v>
      </c>
    </row>
    <row r="13" spans="5:9" ht="15" customHeight="1">
      <c r="E13" s="45" t="s">
        <v>98</v>
      </c>
      <c r="I13" s="46">
        <v>300000</v>
      </c>
    </row>
    <row r="14" spans="5:9" ht="15" customHeight="1">
      <c r="E14" s="45" t="s">
        <v>16</v>
      </c>
      <c r="I14" s="46">
        <v>250000</v>
      </c>
    </row>
    <row r="15" spans="5:9" ht="15" customHeight="1">
      <c r="E15" s="45" t="s">
        <v>124</v>
      </c>
      <c r="I15" s="46">
        <v>320000</v>
      </c>
    </row>
    <row r="16" spans="6:10" ht="15" customHeight="1">
      <c r="F16" s="47" t="s">
        <v>22</v>
      </c>
      <c r="I16" s="25"/>
      <c r="J16" s="48">
        <f>+I17</f>
        <v>3280000</v>
      </c>
    </row>
    <row r="17" spans="5:11" ht="15" customHeight="1">
      <c r="E17" s="45" t="s">
        <v>116</v>
      </c>
      <c r="I17" s="49">
        <f>SUM(I6:I16)</f>
        <v>3280000</v>
      </c>
      <c r="J17" s="49">
        <f>SUM(J6:J16)</f>
        <v>3280000</v>
      </c>
      <c r="K17" s="50">
        <f>+I17-J17</f>
        <v>0</v>
      </c>
    </row>
    <row r="18" spans="3:10" ht="15" customHeight="1">
      <c r="C18" s="45" t="s">
        <v>91</v>
      </c>
      <c r="D18" s="45">
        <f>+D6+1</f>
        <v>2</v>
      </c>
      <c r="E18" s="80" t="s">
        <v>99</v>
      </c>
      <c r="F18" s="80"/>
      <c r="G18" s="80"/>
      <c r="H18" s="80"/>
      <c r="I18" s="17"/>
      <c r="J18" s="17"/>
    </row>
    <row r="19" ht="15" customHeight="1">
      <c r="E19" s="51" t="s">
        <v>72</v>
      </c>
    </row>
    <row r="20" spans="5:9" ht="15" customHeight="1">
      <c r="E20" s="45" t="s">
        <v>73</v>
      </c>
      <c r="I20" s="46">
        <v>390000</v>
      </c>
    </row>
    <row r="21" spans="5:9" ht="15" customHeight="1">
      <c r="E21" s="45" t="s">
        <v>17</v>
      </c>
      <c r="I21" s="46">
        <f>+I9</f>
        <v>500000</v>
      </c>
    </row>
    <row r="22" ht="15" customHeight="1">
      <c r="E22" s="51" t="s">
        <v>5</v>
      </c>
    </row>
    <row r="23" spans="5:9" ht="15" customHeight="1">
      <c r="E23" s="45" t="s">
        <v>24</v>
      </c>
      <c r="I23" s="46">
        <f>+I8</f>
        <v>50000</v>
      </c>
    </row>
    <row r="25" ht="15" customHeight="1">
      <c r="F25" s="51" t="s">
        <v>26</v>
      </c>
    </row>
    <row r="26" spans="6:10" ht="15" customHeight="1">
      <c r="F26" s="45" t="s">
        <v>51</v>
      </c>
      <c r="J26" s="46">
        <v>390000</v>
      </c>
    </row>
    <row r="27" spans="6:10" ht="15" customHeight="1">
      <c r="F27" s="45" t="str">
        <f>+E9</f>
        <v>Huevo en Incubación para Aves de Postura de Huevo Blanco </v>
      </c>
      <c r="J27" s="46">
        <f>+I21</f>
        <v>500000</v>
      </c>
    </row>
    <row r="28" spans="6:10" ht="15" customHeight="1">
      <c r="F28" s="45" t="str">
        <f>+E8</f>
        <v>Huevo en Incubación para Aves de Engorde</v>
      </c>
      <c r="I28" s="25"/>
      <c r="J28" s="48">
        <f>+I23</f>
        <v>50000</v>
      </c>
    </row>
    <row r="29" spans="5:10" ht="15" customHeight="1">
      <c r="E29" s="45" t="s">
        <v>36</v>
      </c>
      <c r="I29" s="49">
        <f>SUM(I19:I28)</f>
        <v>940000</v>
      </c>
      <c r="J29" s="49">
        <f>SUM(J19:J28)</f>
        <v>940000</v>
      </c>
    </row>
    <row r="30" spans="3:10" ht="15" customHeight="1">
      <c r="C30" s="45" t="s">
        <v>91</v>
      </c>
      <c r="D30" s="45">
        <f>+D18+1</f>
        <v>3</v>
      </c>
      <c r="E30" s="80" t="s">
        <v>99</v>
      </c>
      <c r="F30" s="80"/>
      <c r="G30" s="80"/>
      <c r="H30" s="80"/>
      <c r="I30" s="17"/>
      <c r="J30" s="17"/>
    </row>
    <row r="31" ht="15" customHeight="1">
      <c r="E31" s="51" t="s">
        <v>83</v>
      </c>
    </row>
    <row r="32" spans="5:9" ht="15" customHeight="1">
      <c r="E32" s="45" t="s">
        <v>17</v>
      </c>
      <c r="I32" s="46">
        <f>'Hoja de Costos'!G19</f>
        <v>100000</v>
      </c>
    </row>
    <row r="33" spans="6:10" ht="15" customHeight="1">
      <c r="F33" s="45" t="s">
        <v>90</v>
      </c>
      <c r="I33" s="25"/>
      <c r="J33" s="48">
        <f>+I32</f>
        <v>100000</v>
      </c>
    </row>
    <row r="34" spans="5:11" ht="15" customHeight="1">
      <c r="E34" s="45" t="s">
        <v>3</v>
      </c>
      <c r="I34" s="49">
        <f>SUM(I32:I33)</f>
        <v>100000</v>
      </c>
      <c r="J34" s="49">
        <f>SUM(J32:J33)</f>
        <v>100000</v>
      </c>
      <c r="K34" s="50">
        <f>+I34-J34</f>
        <v>0</v>
      </c>
    </row>
    <row r="35" spans="3:10" ht="15" customHeight="1">
      <c r="C35" s="45" t="s">
        <v>91</v>
      </c>
      <c r="D35" s="45">
        <v>4</v>
      </c>
      <c r="E35" s="80" t="s">
        <v>88</v>
      </c>
      <c r="F35" s="80"/>
      <c r="G35" s="80"/>
      <c r="H35" s="80"/>
      <c r="I35" s="17"/>
      <c r="J35" s="17"/>
    </row>
    <row r="36" spans="5:9" ht="15" customHeight="1">
      <c r="E36" s="52" t="s">
        <v>47</v>
      </c>
      <c r="I36" s="46">
        <f>SUM(H36:H39)</f>
        <v>849769</v>
      </c>
    </row>
    <row r="37" spans="5:8" ht="15" customHeight="1">
      <c r="E37" s="45" t="s">
        <v>119</v>
      </c>
      <c r="H37" s="46">
        <f>+'Hoja de Costos'!F14</f>
        <v>350000</v>
      </c>
    </row>
    <row r="38" spans="5:8" ht="15" customHeight="1">
      <c r="E38" s="45" t="s">
        <v>95</v>
      </c>
      <c r="H38" s="46">
        <f>+'Hoja de Costos'!F16</f>
        <v>260000</v>
      </c>
    </row>
    <row r="39" spans="5:8" ht="15" customHeight="1">
      <c r="E39" s="45" t="s">
        <v>107</v>
      </c>
      <c r="H39" s="48">
        <v>239769</v>
      </c>
    </row>
    <row r="40" spans="5:9" ht="15" customHeight="1">
      <c r="E40" s="52" t="s">
        <v>10</v>
      </c>
      <c r="H40" s="17"/>
      <c r="I40" s="46">
        <f>SUM(H40:H43)</f>
        <v>633500</v>
      </c>
    </row>
    <row r="41" spans="5:8" ht="15" customHeight="1">
      <c r="E41" s="45" t="s">
        <v>119</v>
      </c>
      <c r="H41" s="46">
        <f>'Hoja de Costos'!H14</f>
        <v>200000</v>
      </c>
    </row>
    <row r="42" spans="5:8" ht="15" customHeight="1">
      <c r="E42" s="45" t="s">
        <v>95</v>
      </c>
      <c r="H42" s="46">
        <f>'Hoja de Costos'!H16</f>
        <v>220000</v>
      </c>
    </row>
    <row r="43" spans="5:8" ht="15" customHeight="1">
      <c r="E43" s="45" t="s">
        <v>107</v>
      </c>
      <c r="H43" s="48">
        <v>213500</v>
      </c>
    </row>
    <row r="44" spans="6:10" ht="15" customHeight="1">
      <c r="F44" s="45" t="s">
        <v>90</v>
      </c>
      <c r="H44" s="17"/>
      <c r="J44" s="46">
        <v>1069500</v>
      </c>
    </row>
    <row r="45" spans="6:10" ht="15" customHeight="1">
      <c r="F45" s="45" t="s">
        <v>100</v>
      </c>
      <c r="J45" s="46">
        <v>86769</v>
      </c>
    </row>
    <row r="46" spans="6:10" ht="15" customHeight="1">
      <c r="F46" s="45" t="s">
        <v>37</v>
      </c>
      <c r="J46" s="46">
        <v>153000</v>
      </c>
    </row>
    <row r="47" spans="6:10" ht="15" customHeight="1">
      <c r="F47" s="45" t="s">
        <v>0</v>
      </c>
      <c r="I47" s="25"/>
      <c r="J47" s="48">
        <v>174000</v>
      </c>
    </row>
    <row r="48" spans="5:10" ht="15" customHeight="1">
      <c r="E48" s="45" t="s">
        <v>66</v>
      </c>
      <c r="I48" s="49">
        <f>SUM(I36:I47)</f>
        <v>1483269</v>
      </c>
      <c r="J48" s="49">
        <f>SUM(J36:J47)</f>
        <v>1483269</v>
      </c>
    </row>
    <row r="49" spans="3:10" ht="15" customHeight="1">
      <c r="C49" s="45" t="s">
        <v>91</v>
      </c>
      <c r="D49" s="45">
        <f>+D35+1</f>
        <v>5</v>
      </c>
      <c r="E49" s="80" t="s">
        <v>88</v>
      </c>
      <c r="F49" s="80"/>
      <c r="G49" s="80"/>
      <c r="H49" s="80"/>
      <c r="I49" s="17"/>
      <c r="J49" s="17"/>
    </row>
    <row r="50" ht="15" customHeight="1">
      <c r="E50" s="51" t="s">
        <v>58</v>
      </c>
    </row>
    <row r="51" spans="5:9" ht="15" customHeight="1">
      <c r="E51" s="45" t="s">
        <v>71</v>
      </c>
      <c r="I51" s="46">
        <f>+I36</f>
        <v>849769</v>
      </c>
    </row>
    <row r="52" spans="5:9" ht="15" customHeight="1">
      <c r="E52" s="45" t="s">
        <v>15</v>
      </c>
      <c r="I52" s="46">
        <f>+I40</f>
        <v>633500</v>
      </c>
    </row>
    <row r="53" ht="15" customHeight="1">
      <c r="F53" s="51" t="s">
        <v>56</v>
      </c>
    </row>
    <row r="54" spans="6:10" ht="15" customHeight="1">
      <c r="F54" s="45" t="s">
        <v>47</v>
      </c>
      <c r="J54" s="46">
        <f>+I51</f>
        <v>849769</v>
      </c>
    </row>
    <row r="55" spans="6:10" ht="15" customHeight="1">
      <c r="F55" s="45" t="s">
        <v>10</v>
      </c>
      <c r="I55" s="25"/>
      <c r="J55" s="48">
        <f>+I52</f>
        <v>633500</v>
      </c>
    </row>
    <row r="56" spans="5:11" ht="15" customHeight="1">
      <c r="E56" s="45" t="s">
        <v>131</v>
      </c>
      <c r="I56" s="49">
        <f>SUM(I50:I55)</f>
        <v>1483269</v>
      </c>
      <c r="J56" s="49">
        <f>SUM(J50:J55)</f>
        <v>1483269</v>
      </c>
      <c r="K56" s="50">
        <f>+I56-J56</f>
        <v>0</v>
      </c>
    </row>
    <row r="57" spans="3:10" ht="15" customHeight="1">
      <c r="C57" s="45" t="s">
        <v>91</v>
      </c>
      <c r="D57" s="45">
        <f>+D49+1</f>
        <v>6</v>
      </c>
      <c r="E57" s="80" t="s">
        <v>88</v>
      </c>
      <c r="F57" s="80"/>
      <c r="G57" s="80"/>
      <c r="H57" s="80"/>
      <c r="I57" s="17"/>
      <c r="J57" s="17"/>
    </row>
    <row r="58" ht="15" customHeight="1">
      <c r="E58" s="51" t="s">
        <v>56</v>
      </c>
    </row>
    <row r="59" spans="5:9" ht="15" customHeight="1">
      <c r="E59" s="51" t="s">
        <v>53</v>
      </c>
      <c r="I59" s="46">
        <f>SUM(H60:H62)</f>
        <v>315000</v>
      </c>
    </row>
    <row r="60" spans="5:8" ht="15" customHeight="1">
      <c r="E60" s="45" t="s">
        <v>119</v>
      </c>
      <c r="H60" s="46">
        <f>'Hoja de Costos'!I14</f>
        <v>190000</v>
      </c>
    </row>
    <row r="61" spans="5:8" ht="15" customHeight="1">
      <c r="E61" s="45" t="s">
        <v>95</v>
      </c>
      <c r="H61" s="46">
        <f>'Hoja de Costos'!I16</f>
        <v>100000</v>
      </c>
    </row>
    <row r="62" spans="5:8" ht="15" customHeight="1">
      <c r="E62" s="45" t="s">
        <v>107</v>
      </c>
      <c r="H62" s="48">
        <f>'Hoja de Costos'!I21</f>
        <v>25000</v>
      </c>
    </row>
    <row r="63" spans="6:10" ht="15" customHeight="1">
      <c r="F63" s="45" t="s">
        <v>90</v>
      </c>
      <c r="H63" s="17"/>
      <c r="J63" s="46">
        <f>'Hoja de Costos'!I14+'Hoja de Costos'!I16</f>
        <v>290000</v>
      </c>
    </row>
    <row r="64" spans="6:10" ht="15" customHeight="1">
      <c r="F64" s="45" t="s">
        <v>0</v>
      </c>
      <c r="I64" s="25"/>
      <c r="J64" s="48">
        <f>+'Hoja de Costos'!I21</f>
        <v>25000</v>
      </c>
    </row>
    <row r="65" spans="5:11" ht="15" customHeight="1">
      <c r="E65" s="45" t="s">
        <v>121</v>
      </c>
      <c r="I65" s="49">
        <f>SUM(I58:I64)</f>
        <v>315000</v>
      </c>
      <c r="J65" s="49">
        <f>SUM(J58:J64)</f>
        <v>315000</v>
      </c>
      <c r="K65" s="50">
        <f>+I65-J65</f>
        <v>0</v>
      </c>
    </row>
    <row r="66" spans="3:10" ht="15" customHeight="1">
      <c r="C66" s="45" t="s">
        <v>91</v>
      </c>
      <c r="D66" s="45">
        <f>+D57+1</f>
        <v>7</v>
      </c>
      <c r="E66" s="80" t="s">
        <v>88</v>
      </c>
      <c r="F66" s="80"/>
      <c r="G66" s="80"/>
      <c r="H66" s="80"/>
      <c r="I66" s="17"/>
      <c r="J66" s="17"/>
    </row>
    <row r="67" ht="15" customHeight="1">
      <c r="E67" s="51" t="s">
        <v>68</v>
      </c>
    </row>
    <row r="68" spans="5:9" ht="15" customHeight="1">
      <c r="E68" s="45" t="s">
        <v>105</v>
      </c>
      <c r="I68" s="46">
        <f>'Hoja de Costos'!I26</f>
        <v>73000</v>
      </c>
    </row>
    <row r="69" ht="15" customHeight="1">
      <c r="E69" s="51" t="s">
        <v>56</v>
      </c>
    </row>
    <row r="70" spans="5:9" ht="15" customHeight="1">
      <c r="E70" s="45" t="s">
        <v>2</v>
      </c>
      <c r="I70" s="46">
        <f>-'Hoja de Costos'!I25</f>
        <v>292000</v>
      </c>
    </row>
    <row r="71" ht="15" customHeight="1">
      <c r="F71" s="51" t="s">
        <v>56</v>
      </c>
    </row>
    <row r="72" spans="6:10" ht="15" customHeight="1">
      <c r="F72" s="51" t="s">
        <v>53</v>
      </c>
      <c r="I72" s="25"/>
      <c r="J72" s="48">
        <f>'Hoja de Costos'!I24</f>
        <v>365000</v>
      </c>
    </row>
    <row r="73" spans="5:11" ht="15" customHeight="1">
      <c r="E73" s="45" t="s">
        <v>60</v>
      </c>
      <c r="I73" s="49">
        <f>SUM(I67:I72)</f>
        <v>365000</v>
      </c>
      <c r="J73" s="49">
        <f>SUM(J67:J72)</f>
        <v>365000</v>
      </c>
      <c r="K73" s="50">
        <f>+I73-J73</f>
        <v>0</v>
      </c>
    </row>
    <row r="74" spans="9:10" ht="15" customHeight="1">
      <c r="I74" s="17"/>
      <c r="J74" s="17"/>
    </row>
    <row r="77" spans="3:8" ht="15" customHeight="1">
      <c r="C77" s="45" t="s">
        <v>91</v>
      </c>
      <c r="D77" s="45">
        <f>+D66+1</f>
        <v>8</v>
      </c>
      <c r="E77" s="80" t="s">
        <v>88</v>
      </c>
      <c r="F77" s="80"/>
      <c r="G77" s="80"/>
      <c r="H77" s="80"/>
    </row>
    <row r="78" spans="5:9" ht="15" customHeight="1">
      <c r="E78" s="51" t="s">
        <v>56</v>
      </c>
      <c r="I78" s="46">
        <f>SUM(H79:H82)</f>
        <v>366300</v>
      </c>
    </row>
    <row r="79" ht="15" customHeight="1">
      <c r="E79" s="51" t="s">
        <v>2</v>
      </c>
    </row>
    <row r="80" ht="15" customHeight="1">
      <c r="E80" s="51" t="s">
        <v>101</v>
      </c>
    </row>
    <row r="81" spans="5:8" ht="15" customHeight="1">
      <c r="E81" s="45" t="s">
        <v>93</v>
      </c>
      <c r="H81" s="46">
        <v>292000</v>
      </c>
    </row>
    <row r="82" spans="5:8" ht="15" customHeight="1">
      <c r="E82" s="51" t="s">
        <v>134</v>
      </c>
      <c r="H82" s="46">
        <v>74300</v>
      </c>
    </row>
    <row r="83" ht="15" customHeight="1">
      <c r="E83" s="51" t="s">
        <v>87</v>
      </c>
    </row>
    <row r="84" spans="6:10" ht="15" customHeight="1">
      <c r="F84" s="45" t="s">
        <v>79</v>
      </c>
      <c r="J84" s="46">
        <v>292000</v>
      </c>
    </row>
    <row r="85" spans="6:10" ht="15" customHeight="1">
      <c r="F85" s="45" t="s">
        <v>90</v>
      </c>
      <c r="J85" s="46">
        <v>14300</v>
      </c>
    </row>
    <row r="86" spans="6:10" ht="15" customHeight="1">
      <c r="F86" s="45" t="s">
        <v>0</v>
      </c>
      <c r="I86" s="25"/>
      <c r="J86" s="48">
        <v>60000</v>
      </c>
    </row>
    <row r="87" spans="5:10" ht="15" customHeight="1">
      <c r="E87" s="45" t="s">
        <v>96</v>
      </c>
      <c r="I87" s="49">
        <f>SUM(I78:I84)</f>
        <v>366300</v>
      </c>
      <c r="J87" s="49">
        <v>366300</v>
      </c>
    </row>
    <row r="88" spans="3:10" ht="15" customHeight="1">
      <c r="C88" s="45" t="s">
        <v>91</v>
      </c>
      <c r="D88" s="45">
        <f>+D77+1</f>
        <v>9</v>
      </c>
      <c r="E88" s="80" t="s">
        <v>88</v>
      </c>
      <c r="F88" s="80"/>
      <c r="G88" s="80"/>
      <c r="H88" s="80"/>
      <c r="I88" s="17"/>
      <c r="J88" s="17"/>
    </row>
    <row r="89" ht="15" customHeight="1">
      <c r="E89" s="51" t="s">
        <v>56</v>
      </c>
    </row>
    <row r="90" ht="15" customHeight="1">
      <c r="E90" s="45" t="s">
        <v>49</v>
      </c>
    </row>
    <row r="91" spans="5:9" ht="15" customHeight="1">
      <c r="E91" s="45" t="s">
        <v>118</v>
      </c>
      <c r="I91" s="46">
        <f>'Hoja de Costos'!K24</f>
        <v>160400.76</v>
      </c>
    </row>
    <row r="92" spans="5:9" ht="15" customHeight="1">
      <c r="E92" s="45" t="s">
        <v>62</v>
      </c>
      <c r="I92" s="46">
        <f>'Hoja de Costos'!L26</f>
        <v>46292.181069958846</v>
      </c>
    </row>
    <row r="93" spans="5:9" ht="15" customHeight="1">
      <c r="E93" s="45" t="s">
        <v>69</v>
      </c>
      <c r="I93" s="46">
        <f>'Hoja de Costos'!M26</f>
        <v>100000</v>
      </c>
    </row>
    <row r="94" spans="6:10" ht="15" customHeight="1">
      <c r="F94" s="45" t="s">
        <v>90</v>
      </c>
      <c r="I94" s="25"/>
      <c r="J94" s="48">
        <f>(+I91+I92)+I93</f>
        <v>306692.94106995885</v>
      </c>
    </row>
    <row r="95" spans="5:11" ht="15" customHeight="1">
      <c r="E95" s="45" t="s">
        <v>86</v>
      </c>
      <c r="I95" s="49">
        <f>SUM(I89:I94)</f>
        <v>306692.94106995885</v>
      </c>
      <c r="J95" s="49">
        <f>SUM(J89:J94)</f>
        <v>306692.94106995885</v>
      </c>
      <c r="K95" s="50">
        <f>+I95-J95</f>
        <v>0</v>
      </c>
    </row>
    <row r="96" spans="3:10" ht="15" customHeight="1">
      <c r="C96" s="45" t="s">
        <v>91</v>
      </c>
      <c r="D96" s="45">
        <f>+D88+1</f>
        <v>10</v>
      </c>
      <c r="E96" s="80" t="s">
        <v>88</v>
      </c>
      <c r="F96" s="80"/>
      <c r="G96" s="80"/>
      <c r="H96" s="80"/>
      <c r="I96" s="17"/>
      <c r="J96" s="17"/>
    </row>
    <row r="97" ht="15" customHeight="1">
      <c r="E97" s="51" t="s">
        <v>58</v>
      </c>
    </row>
    <row r="98" spans="5:9" ht="15" customHeight="1">
      <c r="E98" s="45" t="s">
        <v>34</v>
      </c>
      <c r="I98" s="50">
        <f>'Hoja de Costos'!J26</f>
        <v>338009.81893004116</v>
      </c>
    </row>
    <row r="99" spans="5:9" ht="15" customHeight="1">
      <c r="E99" s="45" t="s">
        <v>118</v>
      </c>
      <c r="I99" s="50">
        <f>'Hoja de Costos'!K26</f>
        <v>160400.76</v>
      </c>
    </row>
    <row r="100" spans="5:9" ht="15" customHeight="1">
      <c r="E100" s="45" t="s">
        <v>62</v>
      </c>
      <c r="I100" s="50">
        <f>'Hoja de Costos'!L26</f>
        <v>46292.181069958846</v>
      </c>
    </row>
    <row r="101" spans="5:9" ht="15" customHeight="1">
      <c r="E101" s="45" t="s">
        <v>69</v>
      </c>
      <c r="I101" s="50">
        <f>'Hoja de Costos'!M26</f>
        <v>100000</v>
      </c>
    </row>
    <row r="102" ht="15" customHeight="1">
      <c r="F102" s="51" t="s">
        <v>56</v>
      </c>
    </row>
    <row r="103" spans="6:10" ht="15" customHeight="1">
      <c r="F103" s="45" t="s">
        <v>34</v>
      </c>
      <c r="J103" s="50">
        <f>+I98</f>
        <v>338009.81893004116</v>
      </c>
    </row>
    <row r="104" spans="6:10" ht="15" customHeight="1">
      <c r="F104" s="45" t="s">
        <v>118</v>
      </c>
      <c r="J104" s="50">
        <f>+I99</f>
        <v>160400.76</v>
      </c>
    </row>
    <row r="105" spans="6:10" ht="15" customHeight="1">
      <c r="F105" s="45" t="s">
        <v>62</v>
      </c>
      <c r="J105" s="50">
        <f>+I100</f>
        <v>46292.181069958846</v>
      </c>
    </row>
    <row r="106" spans="6:10" ht="15" customHeight="1">
      <c r="F106" s="45" t="s">
        <v>69</v>
      </c>
      <c r="I106" s="25"/>
      <c r="J106" s="53">
        <f>+I101</f>
        <v>100000</v>
      </c>
    </row>
    <row r="107" spans="5:11" ht="15" customHeight="1">
      <c r="E107" s="45" t="s">
        <v>75</v>
      </c>
      <c r="I107" s="49">
        <f>SUM(I97:I106)</f>
        <v>644702.76</v>
      </c>
      <c r="J107" s="49">
        <f>SUM(J97:J106)</f>
        <v>644702.76</v>
      </c>
      <c r="K107" s="50">
        <f>+I107-J107</f>
        <v>0</v>
      </c>
    </row>
    <row r="108" spans="3:10" ht="15" customHeight="1">
      <c r="C108" s="45" t="s">
        <v>91</v>
      </c>
      <c r="D108" s="45">
        <f>+D96+1</f>
        <v>11</v>
      </c>
      <c r="E108" s="80" t="s">
        <v>88</v>
      </c>
      <c r="F108" s="80"/>
      <c r="G108" s="80"/>
      <c r="H108" s="80"/>
      <c r="I108" s="17"/>
      <c r="J108" s="17"/>
    </row>
    <row r="109" spans="5:9" ht="15" customHeight="1">
      <c r="E109" s="45" t="s">
        <v>90</v>
      </c>
      <c r="I109" s="46">
        <f>+J110</f>
        <v>8846136.52</v>
      </c>
    </row>
    <row r="110" spans="6:10" ht="15" customHeight="1">
      <c r="F110" s="51" t="s">
        <v>30</v>
      </c>
      <c r="J110" s="46">
        <f>SUM(H110:H119)</f>
        <v>8846136.52</v>
      </c>
    </row>
    <row r="111" spans="6:8" ht="15" customHeight="1">
      <c r="F111" s="45" t="s">
        <v>71</v>
      </c>
      <c r="H111" s="46">
        <f>Anexos!F40</f>
        <v>5454000</v>
      </c>
    </row>
    <row r="112" spans="6:8" ht="15" customHeight="1">
      <c r="F112" s="45" t="s">
        <v>15</v>
      </c>
      <c r="H112" s="46">
        <f>Anexos!H40</f>
        <v>1206500</v>
      </c>
    </row>
    <row r="113" spans="6:8" ht="15" customHeight="1">
      <c r="F113" s="45" t="s">
        <v>13</v>
      </c>
      <c r="H113" s="46">
        <v>303231</v>
      </c>
    </row>
    <row r="114" spans="6:8" ht="15" customHeight="1">
      <c r="F114" s="45" t="s">
        <v>82</v>
      </c>
      <c r="H114" s="46">
        <v>447000</v>
      </c>
    </row>
    <row r="115" spans="6:8" ht="15" customHeight="1">
      <c r="F115" s="45" t="s">
        <v>53</v>
      </c>
      <c r="H115" s="46">
        <v>146000</v>
      </c>
    </row>
    <row r="116" spans="6:8" ht="15" customHeight="1">
      <c r="F116" s="45" t="s">
        <v>48</v>
      </c>
      <c r="H116" s="46">
        <f>Anexos!J40</f>
        <v>676019.6378600823</v>
      </c>
    </row>
    <row r="117" spans="6:8" ht="15" customHeight="1">
      <c r="F117" s="45" t="s">
        <v>118</v>
      </c>
      <c r="H117" s="46">
        <f>Anexos!K40</f>
        <v>320801.52</v>
      </c>
    </row>
    <row r="118" spans="6:8" ht="15" customHeight="1">
      <c r="F118" s="45" t="s">
        <v>62</v>
      </c>
      <c r="H118" s="46">
        <f>Anexos!L40</f>
        <v>92584.36213991769</v>
      </c>
    </row>
    <row r="119" spans="6:10" ht="15" customHeight="1">
      <c r="F119" s="45" t="s">
        <v>69</v>
      </c>
      <c r="H119" s="48">
        <f>Anexos!M40</f>
        <v>200000</v>
      </c>
      <c r="I119" s="25"/>
      <c r="J119" s="25"/>
    </row>
    <row r="120" spans="5:11" ht="15" customHeight="1">
      <c r="E120" s="45" t="s">
        <v>46</v>
      </c>
      <c r="H120" s="17"/>
      <c r="I120" s="49">
        <f>SUM(I109:I119)</f>
        <v>8846136.52</v>
      </c>
      <c r="J120" s="49">
        <f>SUM(J109:J119)</f>
        <v>8846136.52</v>
      </c>
      <c r="K120" s="50">
        <f>+I120-J120</f>
        <v>0</v>
      </c>
    </row>
    <row r="121" spans="3:10" ht="15" customHeight="1">
      <c r="C121" s="45" t="s">
        <v>91</v>
      </c>
      <c r="D121" s="45">
        <f>+D108+1</f>
        <v>12</v>
      </c>
      <c r="E121" s="80" t="s">
        <v>88</v>
      </c>
      <c r="F121" s="80"/>
      <c r="G121" s="80"/>
      <c r="H121" s="80"/>
      <c r="I121" s="17"/>
      <c r="J121" s="17"/>
    </row>
    <row r="122" ht="15" customHeight="1">
      <c r="E122" s="51" t="s">
        <v>57</v>
      </c>
    </row>
    <row r="123" spans="5:9" ht="15" customHeight="1">
      <c r="E123" s="45" t="s">
        <v>71</v>
      </c>
      <c r="I123" s="46">
        <f>Anexos!F38</f>
        <v>827656.416</v>
      </c>
    </row>
    <row r="124" spans="5:9" ht="15" customHeight="1">
      <c r="E124" s="45" t="s">
        <v>15</v>
      </c>
      <c r="I124" s="46">
        <f>Anexos!H38</f>
        <v>603250</v>
      </c>
    </row>
    <row r="125" spans="5:9" ht="15" customHeight="1">
      <c r="E125" s="45" t="s">
        <v>13</v>
      </c>
      <c r="I125" s="46">
        <v>151615.5</v>
      </c>
    </row>
    <row r="126" spans="5:9" ht="15" customHeight="1">
      <c r="E126" s="45" t="s">
        <v>82</v>
      </c>
      <c r="I126" s="46">
        <f>Anexos!G38</f>
        <v>223500</v>
      </c>
    </row>
    <row r="127" spans="5:9" ht="15" customHeight="1">
      <c r="E127" s="45" t="s">
        <v>53</v>
      </c>
      <c r="I127" s="46">
        <v>73000</v>
      </c>
    </row>
    <row r="128" spans="5:9" ht="15" customHeight="1">
      <c r="E128" s="45" t="s">
        <v>48</v>
      </c>
      <c r="I128" s="46">
        <f>Anexos!J38</f>
        <v>338009.81893004116</v>
      </c>
    </row>
    <row r="129" spans="5:9" ht="15" customHeight="1">
      <c r="E129" s="45" t="s">
        <v>118</v>
      </c>
      <c r="I129" s="46">
        <f>Anexos!K38</f>
        <v>160400.76</v>
      </c>
    </row>
    <row r="130" spans="5:9" ht="15" customHeight="1">
      <c r="E130" s="45" t="s">
        <v>62</v>
      </c>
      <c r="I130" s="46">
        <f>Anexos!L38</f>
        <v>46292.181069958846</v>
      </c>
    </row>
    <row r="131" spans="5:9" ht="15" customHeight="1">
      <c r="E131" s="45" t="s">
        <v>69</v>
      </c>
      <c r="I131" s="46">
        <f>Anexos!M38</f>
        <v>100000</v>
      </c>
    </row>
    <row r="132" ht="15" customHeight="1">
      <c r="F132" s="51" t="s">
        <v>85</v>
      </c>
    </row>
    <row r="133" spans="6:10" ht="15" customHeight="1">
      <c r="F133" s="45" t="s">
        <v>71</v>
      </c>
      <c r="J133" s="46">
        <f aca="true" t="shared" si="0" ref="J133:J141">+I123</f>
        <v>827656.416</v>
      </c>
    </row>
    <row r="134" spans="6:10" ht="15" customHeight="1">
      <c r="F134" s="45" t="s">
        <v>15</v>
      </c>
      <c r="J134" s="46">
        <f t="shared" si="0"/>
        <v>603250</v>
      </c>
    </row>
    <row r="135" spans="6:10" ht="15" customHeight="1">
      <c r="F135" s="45" t="s">
        <v>13</v>
      </c>
      <c r="J135" s="46">
        <f t="shared" si="0"/>
        <v>151615.5</v>
      </c>
    </row>
    <row r="136" spans="6:10" ht="15" customHeight="1">
      <c r="F136" s="45" t="s">
        <v>82</v>
      </c>
      <c r="J136" s="46">
        <f t="shared" si="0"/>
        <v>223500</v>
      </c>
    </row>
    <row r="137" spans="6:10" ht="15" customHeight="1">
      <c r="F137" s="45" t="s">
        <v>53</v>
      </c>
      <c r="J137" s="46">
        <f t="shared" si="0"/>
        <v>73000</v>
      </c>
    </row>
    <row r="138" spans="6:10" ht="15" customHeight="1">
      <c r="F138" s="45" t="s">
        <v>48</v>
      </c>
      <c r="J138" s="46">
        <f t="shared" si="0"/>
        <v>338009.81893004116</v>
      </c>
    </row>
    <row r="139" spans="6:10" ht="15" customHeight="1">
      <c r="F139" s="45" t="s">
        <v>118</v>
      </c>
      <c r="J139" s="46">
        <f t="shared" si="0"/>
        <v>160400.76</v>
      </c>
    </row>
    <row r="140" spans="6:10" ht="15" customHeight="1">
      <c r="F140" s="45" t="s">
        <v>62</v>
      </c>
      <c r="J140" s="46">
        <f t="shared" si="0"/>
        <v>46292.181069958846</v>
      </c>
    </row>
    <row r="141" spans="6:10" ht="15" customHeight="1">
      <c r="F141" s="45" t="s">
        <v>69</v>
      </c>
      <c r="I141" s="25"/>
      <c r="J141" s="48">
        <f t="shared" si="0"/>
        <v>100000</v>
      </c>
    </row>
    <row r="142" spans="5:11" ht="15" customHeight="1">
      <c r="E142" s="45" t="s">
        <v>129</v>
      </c>
      <c r="I142" s="49">
        <f>SUM(I122:I141)</f>
        <v>2523724.676</v>
      </c>
      <c r="J142" s="49">
        <f>SUM(J122:J141)</f>
        <v>2523724.676</v>
      </c>
      <c r="K142" s="50">
        <f>+I142-J142</f>
        <v>0</v>
      </c>
    </row>
    <row r="143" spans="3:10" ht="15" customHeight="1">
      <c r="C143" s="45" t="s">
        <v>91</v>
      </c>
      <c r="D143" s="45">
        <f>+D121+1</f>
        <v>13</v>
      </c>
      <c r="E143" s="80" t="s">
        <v>88</v>
      </c>
      <c r="F143" s="80"/>
      <c r="G143" s="80"/>
      <c r="H143" s="80"/>
      <c r="I143" s="17"/>
      <c r="J143" s="17"/>
    </row>
    <row r="144" spans="5:9" ht="15" customHeight="1">
      <c r="E144" s="45" t="s">
        <v>30</v>
      </c>
      <c r="I144" s="46">
        <f>'Estado de Resultados'!H16</f>
        <v>8846136.52</v>
      </c>
    </row>
    <row r="145" spans="6:10" ht="15" customHeight="1">
      <c r="F145" s="45" t="s">
        <v>57</v>
      </c>
      <c r="J145" s="46">
        <f>-'Estado de Resultados'!H26</f>
        <v>2523724.676</v>
      </c>
    </row>
    <row r="146" spans="6:10" ht="15" customHeight="1">
      <c r="F146" s="45" t="s">
        <v>31</v>
      </c>
      <c r="I146" s="25"/>
      <c r="J146" s="48">
        <f>'Estado de Resultados'!H27</f>
        <v>6322411.844</v>
      </c>
    </row>
    <row r="147" spans="5:11" ht="15" customHeight="1">
      <c r="E147" s="45" t="s">
        <v>19</v>
      </c>
      <c r="I147" s="49">
        <f>SUM(I144:I146)</f>
        <v>8846136.52</v>
      </c>
      <c r="J147" s="49">
        <f>SUM(J144:J146)</f>
        <v>8846136.52</v>
      </c>
      <c r="K147" s="50">
        <f>+I147-J147</f>
        <v>0</v>
      </c>
    </row>
    <row r="148" spans="3:10" ht="15" customHeight="1">
      <c r="C148" s="45" t="s">
        <v>91</v>
      </c>
      <c r="D148" s="45">
        <f>+D143+1</f>
        <v>14</v>
      </c>
      <c r="E148" s="80" t="s">
        <v>88</v>
      </c>
      <c r="F148" s="80"/>
      <c r="G148" s="80"/>
      <c r="H148" s="80"/>
      <c r="I148" s="17"/>
      <c r="J148" s="17"/>
    </row>
    <row r="149" spans="5:9" ht="15" customHeight="1">
      <c r="E149" s="45" t="s">
        <v>31</v>
      </c>
      <c r="I149" s="46">
        <f>'Estado de Resultados'!H27</f>
        <v>6322411.844</v>
      </c>
    </row>
    <row r="150" spans="6:10" ht="15" customHeight="1">
      <c r="F150" s="45" t="s">
        <v>126</v>
      </c>
      <c r="I150" s="25"/>
      <c r="J150" s="48">
        <f>+I149</f>
        <v>6322411.844</v>
      </c>
    </row>
    <row r="151" spans="5:11" ht="15" customHeight="1">
      <c r="E151" s="45" t="s">
        <v>52</v>
      </c>
      <c r="I151" s="49">
        <f>SUM(I149:I150)</f>
        <v>6322411.844</v>
      </c>
      <c r="J151" s="49">
        <f>SUM(J149:J150)</f>
        <v>6322411.844</v>
      </c>
      <c r="K151" s="50">
        <f>+I151-J151</f>
        <v>0</v>
      </c>
    </row>
  </sheetData>
  <sheetProtection/>
  <mergeCells count="14">
    <mergeCell ref="E6:H6"/>
    <mergeCell ref="E18:H18"/>
    <mergeCell ref="E30:H30"/>
    <mergeCell ref="E35:H35"/>
    <mergeCell ref="E49:H49"/>
    <mergeCell ref="E57:H57"/>
    <mergeCell ref="E143:H143"/>
    <mergeCell ref="E148:H148"/>
    <mergeCell ref="E66:H66"/>
    <mergeCell ref="E77:H77"/>
    <mergeCell ref="E88:H88"/>
    <mergeCell ref="E96:H96"/>
    <mergeCell ref="E108:H108"/>
    <mergeCell ref="E121:H121"/>
  </mergeCells>
  <printOptions/>
  <pageMargins left="0.3937007874015748" right="0.35433070866141736" top="0.7874015748031497" bottom="0.5905511811023623" header="0.5118110236220472" footer="0.5118110236220472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H30"/>
  <sheetViews>
    <sheetView zoomScalePageLayoutView="0" workbookViewId="0" topLeftCell="A1">
      <selection activeCell="N17" sqref="N17"/>
    </sheetView>
  </sheetViews>
  <sheetFormatPr defaultColWidth="11.421875" defaultRowHeight="15" customHeight="1"/>
  <cols>
    <col min="2" max="2" width="6.8515625" style="0" customWidth="1"/>
    <col min="3" max="3" width="2.00390625" style="0" customWidth="1"/>
    <col min="4" max="4" width="6.140625" style="0" customWidth="1"/>
    <col min="5" max="5" width="33.00390625" style="0" customWidth="1"/>
    <col min="6" max="6" width="15.57421875" style="0" customWidth="1"/>
    <col min="7" max="7" width="11.28125" style="0" customWidth="1"/>
    <col min="8" max="8" width="16.57421875" style="0" customWidth="1"/>
  </cols>
  <sheetData>
    <row r="2" ht="18">
      <c r="D2" s="44" t="str">
        <f>'Hoja de Costos'!D3</f>
        <v>EL HUEVO ROJO, S. A.</v>
      </c>
    </row>
    <row r="3" ht="18">
      <c r="D3" s="44" t="s">
        <v>43</v>
      </c>
    </row>
    <row r="4" ht="15" customHeight="1">
      <c r="D4" s="54" t="s">
        <v>81</v>
      </c>
    </row>
    <row r="5" ht="15" customHeight="1">
      <c r="D5" s="54" t="s">
        <v>84</v>
      </c>
    </row>
    <row r="7" ht="15" customHeight="1">
      <c r="D7" s="55" t="s">
        <v>30</v>
      </c>
    </row>
    <row r="8" spans="5:6" ht="15" customHeight="1">
      <c r="E8" s="20" t="str">
        <f>Jornalizacion!F111</f>
        <v>Huevo Rojo</v>
      </c>
      <c r="F8" s="56">
        <f>Jornalizacion!H111</f>
        <v>5454000</v>
      </c>
    </row>
    <row r="9" spans="5:6" ht="15" customHeight="1">
      <c r="E9" s="20" t="str">
        <f>Jornalizacion!F112</f>
        <v>Huevo Blanco</v>
      </c>
      <c r="F9" s="56">
        <f>Jornalizacion!H112</f>
        <v>1206500</v>
      </c>
    </row>
    <row r="10" spans="5:6" ht="15" customHeight="1">
      <c r="E10" s="20" t="str">
        <f>Jornalizacion!F113</f>
        <v>Aves Ponedoras de Huevo Rojo</v>
      </c>
      <c r="F10" s="56">
        <f>Jornalizacion!H113</f>
        <v>303231</v>
      </c>
    </row>
    <row r="11" spans="5:6" ht="15" customHeight="1">
      <c r="E11" s="20" t="str">
        <f>Jornalizacion!F114</f>
        <v>Aves Ponedoras de Huevo Blanco</v>
      </c>
      <c r="F11" s="56">
        <f>Jornalizacion!H114</f>
        <v>447000</v>
      </c>
    </row>
    <row r="12" spans="5:6" ht="15" customHeight="1">
      <c r="E12" s="20" t="str">
        <f>Jornalizacion!F115</f>
        <v>Aves de Engorde</v>
      </c>
      <c r="F12" s="56">
        <f>Jornalizacion!H115</f>
        <v>146000</v>
      </c>
    </row>
    <row r="13" spans="5:6" ht="15" customHeight="1">
      <c r="E13" s="20" t="str">
        <f>Jornalizacion!F116</f>
        <v>Gallina Industrializada</v>
      </c>
      <c r="F13" s="56">
        <f>Jornalizacion!H116</f>
        <v>676019.6378600823</v>
      </c>
    </row>
    <row r="14" spans="5:6" ht="15" customHeight="1">
      <c r="E14" s="20" t="str">
        <f>Jornalizacion!F117</f>
        <v>Maquetas de Huevo</v>
      </c>
      <c r="F14" s="56">
        <f>Jornalizacion!H117</f>
        <v>320801.52</v>
      </c>
    </row>
    <row r="15" spans="5:6" ht="15" customHeight="1">
      <c r="E15" s="20" t="str">
        <f>Jornalizacion!F118</f>
        <v>Víceras de Ave</v>
      </c>
      <c r="F15" s="56">
        <f>Jornalizacion!H118</f>
        <v>92584.36213991769</v>
      </c>
    </row>
    <row r="16" spans="5:8" ht="15" customHeight="1">
      <c r="E16" s="20" t="str">
        <f>Jornalizacion!F119</f>
        <v>Gallinaza</v>
      </c>
      <c r="F16" s="37">
        <f>Jornalizacion!H119</f>
        <v>200000</v>
      </c>
      <c r="H16" s="18">
        <f>SUM(F7:F16)</f>
        <v>8846136.52</v>
      </c>
    </row>
    <row r="17" spans="4:6" ht="15" customHeight="1">
      <c r="D17" s="55" t="s">
        <v>55</v>
      </c>
      <c r="F17" s="17"/>
    </row>
    <row r="18" spans="5:6" ht="15" customHeight="1">
      <c r="E18" s="20" t="str">
        <f>Jornalizacion!E123</f>
        <v>Huevo Rojo</v>
      </c>
      <c r="F18" s="18">
        <f>Jornalizacion!I123</f>
        <v>827656.416</v>
      </c>
    </row>
    <row r="19" spans="5:6" ht="15" customHeight="1">
      <c r="E19" s="20" t="str">
        <f>Jornalizacion!E124</f>
        <v>Huevo Blanco</v>
      </c>
      <c r="F19" s="18">
        <f>Jornalizacion!I124</f>
        <v>603250</v>
      </c>
    </row>
    <row r="20" spans="5:6" ht="15" customHeight="1">
      <c r="E20" s="20" t="str">
        <f>Jornalizacion!E125</f>
        <v>Aves Ponedoras de Huevo Rojo</v>
      </c>
      <c r="F20" s="18">
        <f>Jornalizacion!I125</f>
        <v>151615.5</v>
      </c>
    </row>
    <row r="21" spans="5:6" ht="15" customHeight="1">
      <c r="E21" s="20" t="str">
        <f>Jornalizacion!E126</f>
        <v>Aves Ponedoras de Huevo Blanco</v>
      </c>
      <c r="F21" s="18">
        <f>Jornalizacion!I126</f>
        <v>223500</v>
      </c>
    </row>
    <row r="22" spans="5:6" ht="15" customHeight="1">
      <c r="E22" s="20" t="str">
        <f>Jornalizacion!E127</f>
        <v>Aves de Engorde</v>
      </c>
      <c r="F22" s="18">
        <f>Jornalizacion!I127</f>
        <v>73000</v>
      </c>
    </row>
    <row r="23" spans="5:6" ht="15" customHeight="1">
      <c r="E23" s="20" t="str">
        <f>Jornalizacion!E128</f>
        <v>Gallina Industrializada</v>
      </c>
      <c r="F23" s="18">
        <f>Jornalizacion!I128</f>
        <v>338009.81893004116</v>
      </c>
    </row>
    <row r="24" spans="5:6" ht="15" customHeight="1">
      <c r="E24" s="20" t="str">
        <f>Jornalizacion!E129</f>
        <v>Maquetas de Huevo</v>
      </c>
      <c r="F24" s="18">
        <f>Jornalizacion!I129</f>
        <v>160400.76</v>
      </c>
    </row>
    <row r="25" spans="5:6" ht="15" customHeight="1">
      <c r="E25" s="20" t="str">
        <f>Jornalizacion!E130</f>
        <v>Víceras de Ave</v>
      </c>
      <c r="F25" s="18">
        <f>Jornalizacion!I130</f>
        <v>46292.181069958846</v>
      </c>
    </row>
    <row r="26" spans="5:8" ht="15" customHeight="1">
      <c r="E26" s="20" t="str">
        <f>Jornalizacion!E131</f>
        <v>Gallinaza</v>
      </c>
      <c r="F26" s="4">
        <f>Jornalizacion!I131</f>
        <v>100000</v>
      </c>
      <c r="G26" s="4"/>
      <c r="H26" s="4">
        <f>SUM(F18:F26)*-1</f>
        <v>-2523724.676</v>
      </c>
    </row>
    <row r="27" spans="4:8" ht="15" customHeight="1">
      <c r="D27" s="19" t="s">
        <v>163</v>
      </c>
      <c r="F27" s="17"/>
      <c r="G27" s="17"/>
      <c r="H27" s="42">
        <f>SUM(H16:H26)</f>
        <v>6322411.844</v>
      </c>
    </row>
    <row r="28" spans="3:8" ht="15" customHeight="1">
      <c r="C28" t="s">
        <v>165</v>
      </c>
      <c r="D28" t="s">
        <v>164</v>
      </c>
      <c r="H28" s="77">
        <f>H27*5/100</f>
        <v>316120.5922</v>
      </c>
    </row>
    <row r="29" spans="4:8" ht="15" customHeight="1">
      <c r="D29" t="s">
        <v>166</v>
      </c>
      <c r="H29" s="77">
        <f>(H27-H28)*31%</f>
        <v>1861950.288058</v>
      </c>
    </row>
    <row r="30" spans="4:8" ht="15" customHeight="1">
      <c r="D30" t="s">
        <v>167</v>
      </c>
      <c r="H30" s="72">
        <f>H27-H28-H29</f>
        <v>4144340.963742</v>
      </c>
    </row>
  </sheetData>
  <sheetProtection/>
  <printOptions/>
  <pageMargins left="0.5511811023622047" right="0.35433070866141736" top="0.984251968503937" bottom="0.984251968503937" header="0.5118110236220472" footer="0.5118110236220472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RECEPCION</cp:lastModifiedBy>
  <cp:lastPrinted>2014-03-28T10:47:41Z</cp:lastPrinted>
  <dcterms:created xsi:type="dcterms:W3CDTF">2014-03-31T15:00:06Z</dcterms:created>
  <dcterms:modified xsi:type="dcterms:W3CDTF">2014-03-31T15:00:07Z</dcterms:modified>
  <cp:category/>
  <cp:version/>
  <cp:contentType/>
  <cp:contentStatus/>
</cp:coreProperties>
</file>