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100" activeTab="0"/>
  </bookViews>
  <sheets>
    <sheet name="HOJA DE TRABAJO" sheetId="1" r:id="rId1"/>
    <sheet name="LIBRO DIARIO" sheetId="2" r:id="rId2"/>
    <sheet name="ER" sheetId="3" r:id="rId3"/>
  </sheets>
  <definedNames/>
  <calcPr fullCalcOnLoad="1"/>
</workbook>
</file>

<file path=xl/sharedStrings.xml><?xml version="1.0" encoding="utf-8"?>
<sst xmlns="http://schemas.openxmlformats.org/spreadsheetml/2006/main" count="238" uniqueCount="166">
  <si>
    <t>Inventario Inicial</t>
  </si>
  <si>
    <t>Insumos</t>
  </si>
  <si>
    <t>Suministros</t>
  </si>
  <si>
    <t>Concentrado</t>
  </si>
  <si>
    <t>Vitaminas y vacunas</t>
  </si>
  <si>
    <t>Insecticidas</t>
  </si>
  <si>
    <t>Huevos rotos</t>
  </si>
  <si>
    <t>Gallinas de industrialización</t>
  </si>
  <si>
    <t>Sub total</t>
  </si>
  <si>
    <t>Mano de obra</t>
  </si>
  <si>
    <t>Mano de obra y bonificación</t>
  </si>
  <si>
    <t>Prestaciones laborales</t>
  </si>
  <si>
    <t>Couota Patronal</t>
  </si>
  <si>
    <t>Gastos indirectos</t>
  </si>
  <si>
    <t>Honorarios veterinario</t>
  </si>
  <si>
    <t>Energia Electrica</t>
  </si>
  <si>
    <t>Seguro</t>
  </si>
  <si>
    <t>Depreciación galera</t>
  </si>
  <si>
    <t>Depreciación equipo avicola</t>
  </si>
  <si>
    <t>Empaque</t>
  </si>
  <si>
    <t>Otros gastos</t>
  </si>
  <si>
    <t>Gallinaza</t>
  </si>
  <si>
    <t>Industrialización</t>
  </si>
  <si>
    <t>Maquetas</t>
  </si>
  <si>
    <t>Huevos</t>
  </si>
  <si>
    <t>Pollitas</t>
  </si>
  <si>
    <t>Descripción</t>
  </si>
  <si>
    <t>TOTAL</t>
  </si>
  <si>
    <t>(-)</t>
  </si>
  <si>
    <t>Sub producto</t>
  </si>
  <si>
    <t>Unidades</t>
  </si>
  <si>
    <t>Costo unitario</t>
  </si>
  <si>
    <t>"EL GALLO ENLATADO, S.A."</t>
  </si>
  <si>
    <t>HOJA DEL COSTO DE PRODUCCIÓN POR UNIDAD PRODUCIDA</t>
  </si>
  <si>
    <t>CIFRAS EXPRESADAS EN QUETZALES</t>
  </si>
  <si>
    <t>Galers</t>
  </si>
  <si>
    <t>Inventario pollitas de 1 día</t>
  </si>
  <si>
    <t>Equipo avicola</t>
  </si>
  <si>
    <t>Inventario de concentrado</t>
  </si>
  <si>
    <t>Inventario de medicinas y vacunas</t>
  </si>
  <si>
    <t>Inventario de material de empaque</t>
  </si>
  <si>
    <t>Seguros anticipados aves</t>
  </si>
  <si>
    <t>Proveedores</t>
  </si>
  <si>
    <t>Capital</t>
  </si>
  <si>
    <t xml:space="preserve">Para registrar la partida de apertura </t>
  </si>
  <si>
    <r>
      <t>P</t>
    </r>
    <r>
      <rPr>
        <i/>
        <sz val="10"/>
        <rFont val="Arial"/>
        <family val="2"/>
      </rPr>
      <t># 1</t>
    </r>
  </si>
  <si>
    <r>
      <t>P</t>
    </r>
    <r>
      <rPr>
        <i/>
        <sz val="10"/>
        <rFont val="Arial"/>
        <family val="2"/>
      </rPr>
      <t># 2</t>
    </r>
  </si>
  <si>
    <t>Costo de producción pollitas de 1 día</t>
  </si>
  <si>
    <t>__</t>
  </si>
  <si>
    <r>
      <t>P</t>
    </r>
    <r>
      <rPr>
        <i/>
        <sz val="10"/>
        <rFont val="Arial"/>
        <family val="2"/>
      </rPr>
      <t># 3</t>
    </r>
  </si>
  <si>
    <t>Costo pollitas</t>
  </si>
  <si>
    <t>Sueldos</t>
  </si>
  <si>
    <t>Cuota Patronal</t>
  </si>
  <si>
    <t>Agua y energia electrica</t>
  </si>
  <si>
    <t>Inventario de medicina y vacunas</t>
  </si>
  <si>
    <t>Inventario de suministros</t>
  </si>
  <si>
    <t>Depreciación galeras</t>
  </si>
  <si>
    <r>
      <t>P</t>
    </r>
    <r>
      <rPr>
        <i/>
        <sz val="10"/>
        <rFont val="Arial"/>
        <family val="2"/>
      </rPr>
      <t># 4</t>
    </r>
  </si>
  <si>
    <t>Para registrar el traslado del inventario</t>
  </si>
  <si>
    <t>de las pollitas al costo de producción</t>
  </si>
  <si>
    <t>Para registrar todos los gastos para</t>
  </si>
  <si>
    <t>el costo de las pollitas</t>
  </si>
  <si>
    <t>Inventario de ponedoras</t>
  </si>
  <si>
    <t>Gallinas industrializadas</t>
  </si>
  <si>
    <t>Costo de ventas</t>
  </si>
  <si>
    <t>de pollitas a de ponedoras, al costo</t>
  </si>
  <si>
    <t>de ventas y al de industrialización</t>
  </si>
  <si>
    <r>
      <t>P</t>
    </r>
    <r>
      <rPr>
        <i/>
        <sz val="10"/>
        <rFont val="Arial"/>
        <family val="2"/>
      </rPr>
      <t># 5</t>
    </r>
  </si>
  <si>
    <t>Costo de producción huevos</t>
  </si>
  <si>
    <t xml:space="preserve">Concentrado </t>
  </si>
  <si>
    <t>vitaminas y vacunas</t>
  </si>
  <si>
    <t>Material de empaque</t>
  </si>
  <si>
    <t>seguros</t>
  </si>
  <si>
    <t>Agotamiento gallinas ponedoras</t>
  </si>
  <si>
    <t>Caja y Bancos</t>
  </si>
  <si>
    <t>Inventario ponedoras</t>
  </si>
  <si>
    <t>Depreciación acumulada galeras</t>
  </si>
  <si>
    <t>Depreciación acumulada equipo avicola</t>
  </si>
  <si>
    <t>el costo de las ponedoras (huevos)</t>
  </si>
  <si>
    <r>
      <t>P</t>
    </r>
    <r>
      <rPr>
        <i/>
        <sz val="10"/>
        <rFont val="Arial"/>
        <family val="2"/>
      </rPr>
      <t># 6</t>
    </r>
  </si>
  <si>
    <t>Costo de producción maquetas</t>
  </si>
  <si>
    <t>Costo de producción Huevos</t>
  </si>
  <si>
    <t>Para registrar los costos de pruducción</t>
  </si>
  <si>
    <t>de los subproductos</t>
  </si>
  <si>
    <r>
      <t>P</t>
    </r>
    <r>
      <rPr>
        <i/>
        <sz val="10"/>
        <rFont val="Arial"/>
        <family val="2"/>
      </rPr>
      <t># 7</t>
    </r>
  </si>
  <si>
    <t>costo de producción</t>
  </si>
  <si>
    <t xml:space="preserve">Para registrar el traslado de la </t>
  </si>
  <si>
    <t>producción de huevos al inventario</t>
  </si>
  <si>
    <r>
      <t>P</t>
    </r>
    <r>
      <rPr>
        <i/>
        <sz val="10"/>
        <rFont val="Arial"/>
        <family val="2"/>
      </rPr>
      <t># 8</t>
    </r>
  </si>
  <si>
    <t>Costo de ventas huevo</t>
  </si>
  <si>
    <t>Costo de producción pondoras</t>
  </si>
  <si>
    <t>Costo de producción desechos</t>
  </si>
  <si>
    <t>Ventas</t>
  </si>
  <si>
    <r>
      <t>P</t>
    </r>
    <r>
      <rPr>
        <i/>
        <sz val="10"/>
        <rFont val="Arial"/>
        <family val="2"/>
      </rPr>
      <t># 10</t>
    </r>
  </si>
  <si>
    <t>Para registrar la venta de los productos</t>
  </si>
  <si>
    <t>producidos durante el periodo</t>
  </si>
  <si>
    <t>Reserva legal</t>
  </si>
  <si>
    <t>ISR por pagar</t>
  </si>
  <si>
    <t>VENTAS</t>
  </si>
  <si>
    <t>Cajas de huevos</t>
  </si>
  <si>
    <t>Quintales de gallinaza</t>
  </si>
  <si>
    <t>Gallinas de desecho</t>
  </si>
  <si>
    <t>Huevos en maquetas</t>
  </si>
  <si>
    <t>COSTO DE VENTAS</t>
  </si>
  <si>
    <t>Ganancia en operación</t>
  </si>
  <si>
    <t>ESTADO DE RESULTADOS</t>
  </si>
  <si>
    <t>Utilidad del Ejercicio</t>
  </si>
  <si>
    <t>Costo de producción industrializadas</t>
  </si>
  <si>
    <t>CAJAS HUEVO</t>
  </si>
  <si>
    <t>BANDEJA CAJAS HUEVO</t>
  </si>
  <si>
    <t>QUINTALES</t>
  </si>
  <si>
    <t xml:space="preserve">        Unidades</t>
  </si>
  <si>
    <t>(-) Muertes, huevos rotos y merma</t>
  </si>
  <si>
    <t xml:space="preserve">    = Unidades disponibles</t>
  </si>
  <si>
    <t>Costo Unitario</t>
  </si>
  <si>
    <t>Traslado a Postura</t>
  </si>
  <si>
    <t>AGOTAMIENTO</t>
  </si>
  <si>
    <t xml:space="preserve">  = Costo Traslado</t>
  </si>
  <si>
    <t>Pollos ponedoras</t>
  </si>
  <si>
    <t>Traslado a Industrializaciòn</t>
  </si>
  <si>
    <t xml:space="preserve">     ( - ) Costo de reemplazo</t>
  </si>
  <si>
    <t xml:space="preserve">   =  Agotamiento de 11 meses</t>
  </si>
  <si>
    <t>CALCULOS DE CAJAS DE HUEVOS</t>
  </si>
  <si>
    <t>Costo Total</t>
  </si>
  <si>
    <t>Existencia 2010</t>
  </si>
  <si>
    <t xml:space="preserve">  = Dispon</t>
  </si>
  <si>
    <t>ventas   %</t>
  </si>
  <si>
    <t>Inventario-2010</t>
  </si>
  <si>
    <t xml:space="preserve">  =Total Ventas</t>
  </si>
  <si>
    <t>INDUSTRIALIZACION</t>
  </si>
  <si>
    <t>Precio Venta</t>
  </si>
  <si>
    <t>POR EL PERIODO DEL 01/01/10 AL 31/12/10</t>
  </si>
  <si>
    <t>CRECIMIENTO</t>
  </si>
  <si>
    <t>1 MES</t>
  </si>
  <si>
    <t xml:space="preserve">POLLITAS </t>
  </si>
  <si>
    <t>Error de Sexo</t>
  </si>
  <si>
    <t>VENTA</t>
  </si>
  <si>
    <t>HUEVOS ROTOS</t>
  </si>
  <si>
    <t>GALLINAS INDUSTRIALIZADAS</t>
  </si>
  <si>
    <t>Ventas   90%</t>
  </si>
  <si>
    <t>PERDIDA</t>
  </si>
  <si>
    <t>GALLINAS COMO CARNE</t>
  </si>
  <si>
    <t>UNIDADES</t>
  </si>
  <si>
    <t>COSTO</t>
  </si>
  <si>
    <t>ganancia</t>
  </si>
  <si>
    <t xml:space="preserve">Desgaste </t>
  </si>
  <si>
    <t xml:space="preserve">Inventario de huevos </t>
  </si>
  <si>
    <t>INVENTARIO</t>
  </si>
  <si>
    <t>GALLINAS PONEDORAS VTA</t>
  </si>
  <si>
    <t>COSTO TOTAL</t>
  </si>
  <si>
    <t xml:space="preserve">El precio de Venta de las Gallinas Industrializadas es de Q. 45.00 </t>
  </si>
  <si>
    <t>dato que no aparece en el enunciado</t>
  </si>
  <si>
    <t>Costo de ventas gallinas Ponedoras</t>
  </si>
  <si>
    <t>Costo de Venta de Gallinas de Desecho</t>
  </si>
  <si>
    <t>Costo de prod de Gallinas de Desecho</t>
  </si>
  <si>
    <t>ventas huevo</t>
  </si>
  <si>
    <t>ventas gallinas Ponedoras</t>
  </si>
  <si>
    <t>Gallinas de Desecho</t>
  </si>
  <si>
    <t>Gallinas de Eng o Pone.</t>
  </si>
  <si>
    <t xml:space="preserve">BANDEJAS </t>
  </si>
  <si>
    <t>Costo de Ventas de Maquetas</t>
  </si>
  <si>
    <t>Costo de Produccion de Gallinaza</t>
  </si>
  <si>
    <t>Costo de Ventas de Gallinaza</t>
  </si>
  <si>
    <t>ventas maquetas</t>
  </si>
  <si>
    <t>Ventas Gallinaza</t>
  </si>
  <si>
    <t>POSTURA</t>
  </si>
</sst>
</file>

<file path=xl/styles.xml><?xml version="1.0" encoding="utf-8"?>
<styleSheet xmlns="http://schemas.openxmlformats.org/spreadsheetml/2006/main">
  <numFmts count="2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0_);\(#,##0.0000\)"/>
    <numFmt numFmtId="166" formatCode="_(* #,##0.0000_);_(* \(#,##0.0000\);_(* &quot;-&quot;??_);_(@_)"/>
    <numFmt numFmtId="167" formatCode="#,##0.00000_);\(#,##0.00000\)"/>
    <numFmt numFmtId="168" formatCode="#,##0.000_);\(#,##0.000\)"/>
    <numFmt numFmtId="169" formatCode="#,##0.0_);\(#,##0.0\)"/>
    <numFmt numFmtId="170" formatCode="#,##0.000000_);\(#,##0.000000\)"/>
    <numFmt numFmtId="171" formatCode="_(* #,##0.0000_);_(* \(#,##0.0000\);_(* &quot;-&quot;????_);_(@_)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#,##0.0000000_);\(#,##0.0000000\)"/>
  </numFmts>
  <fonts count="52">
    <font>
      <sz val="10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17">
    <xf numFmtId="0" fontId="0" fillId="0" borderId="0" xfId="0" applyAlignment="1">
      <alignment/>
    </xf>
    <xf numFmtId="43" fontId="0" fillId="0" borderId="0" xfId="48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8" applyFont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0" fontId="0" fillId="0" borderId="11" xfId="0" applyBorder="1" applyAlignment="1">
      <alignment/>
    </xf>
    <xf numFmtId="43" fontId="0" fillId="0" borderId="11" xfId="48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2" xfId="48" applyFont="1" applyBorder="1" applyAlignment="1">
      <alignment/>
    </xf>
    <xf numFmtId="43" fontId="0" fillId="0" borderId="13" xfId="48" applyFont="1" applyBorder="1" applyAlignment="1">
      <alignment/>
    </xf>
    <xf numFmtId="43" fontId="0" fillId="0" borderId="14" xfId="48" applyFont="1" applyBorder="1" applyAlignment="1">
      <alignment/>
    </xf>
    <xf numFmtId="43" fontId="0" fillId="0" borderId="15" xfId="48" applyFont="1" applyBorder="1" applyAlignment="1">
      <alignment/>
    </xf>
    <xf numFmtId="14" fontId="0" fillId="0" borderId="11" xfId="0" applyNumberFormat="1" applyBorder="1" applyAlignment="1">
      <alignment horizontal="center"/>
    </xf>
    <xf numFmtId="43" fontId="0" fillId="0" borderId="16" xfId="48" applyFont="1" applyBorder="1" applyAlignment="1">
      <alignment/>
    </xf>
    <xf numFmtId="0" fontId="1" fillId="0" borderId="11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 vertical="justify"/>
    </xf>
    <xf numFmtId="43" fontId="6" fillId="0" borderId="0" xfId="48" applyFont="1" applyFill="1" applyBorder="1" applyAlignment="1">
      <alignment horizontal="center" vertical="justify"/>
    </xf>
    <xf numFmtId="43" fontId="7" fillId="0" borderId="0" xfId="48" applyFont="1" applyAlignment="1">
      <alignment/>
    </xf>
    <xf numFmtId="0" fontId="7" fillId="0" borderId="0" xfId="0" applyFont="1" applyAlignment="1">
      <alignment/>
    </xf>
    <xf numFmtId="3" fontId="7" fillId="0" borderId="0" xfId="48" applyNumberFormat="1" applyFont="1" applyFill="1" applyAlignment="1">
      <alignment horizontal="center"/>
    </xf>
    <xf numFmtId="3" fontId="7" fillId="0" borderId="0" xfId="48" applyNumberFormat="1" applyFont="1" applyAlignment="1">
      <alignment/>
    </xf>
    <xf numFmtId="4" fontId="7" fillId="0" borderId="0" xfId="48" applyNumberFormat="1" applyFont="1" applyAlignment="1">
      <alignment/>
    </xf>
    <xf numFmtId="3" fontId="7" fillId="0" borderId="0" xfId="48" applyNumberFormat="1" applyFont="1" applyAlignment="1">
      <alignment horizontal="center"/>
    </xf>
    <xf numFmtId="37" fontId="7" fillId="0" borderId="0" xfId="48" applyNumberFormat="1" applyFont="1" applyAlignment="1">
      <alignment/>
    </xf>
    <xf numFmtId="165" fontId="7" fillId="0" borderId="0" xfId="48" applyNumberFormat="1" applyFont="1" applyAlignment="1">
      <alignment/>
    </xf>
    <xf numFmtId="0" fontId="6" fillId="0" borderId="0" xfId="0" applyFont="1" applyAlignment="1">
      <alignment/>
    </xf>
    <xf numFmtId="43" fontId="6" fillId="0" borderId="0" xfId="48" applyFont="1" applyAlignment="1">
      <alignment/>
    </xf>
    <xf numFmtId="4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1" fontId="7" fillId="0" borderId="0" xfId="0" applyNumberFormat="1" applyFont="1" applyFill="1" applyAlignment="1">
      <alignment horizontal="center"/>
    </xf>
    <xf numFmtId="166" fontId="7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37" fontId="7" fillId="0" borderId="17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43" fontId="7" fillId="0" borderId="17" xfId="48" applyFont="1" applyBorder="1" applyAlignment="1">
      <alignment/>
    </xf>
    <xf numFmtId="165" fontId="7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4" fillId="0" borderId="18" xfId="0" applyFont="1" applyBorder="1" applyAlignment="1">
      <alignment horizontal="center"/>
    </xf>
    <xf numFmtId="43" fontId="4" fillId="0" borderId="19" xfId="48" applyFont="1" applyBorder="1" applyAlignment="1">
      <alignment horizontal="center"/>
    </xf>
    <xf numFmtId="43" fontId="0" fillId="0" borderId="20" xfId="48" applyFont="1" applyBorder="1" applyAlignment="1">
      <alignment horizontal="center"/>
    </xf>
    <xf numFmtId="39" fontId="7" fillId="0" borderId="0" xfId="48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3" fontId="8" fillId="0" borderId="0" xfId="48" applyFont="1" applyFill="1" applyBorder="1" applyAlignment="1">
      <alignment horizontal="center" vertical="justify"/>
    </xf>
    <xf numFmtId="0" fontId="7" fillId="33" borderId="0" xfId="0" applyFont="1" applyFill="1" applyAlignment="1">
      <alignment/>
    </xf>
    <xf numFmtId="43" fontId="7" fillId="33" borderId="0" xfId="48" applyFont="1" applyFill="1" applyAlignment="1">
      <alignment/>
    </xf>
    <xf numFmtId="2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43" fontId="0" fillId="0" borderId="21" xfId="48" applyFont="1" applyBorder="1" applyAlignment="1">
      <alignment/>
    </xf>
    <xf numFmtId="43" fontId="50" fillId="0" borderId="10" xfId="48" applyFont="1" applyBorder="1" applyAlignment="1">
      <alignment horizontal="center"/>
    </xf>
    <xf numFmtId="43" fontId="50" fillId="0" borderId="0" xfId="48" applyFont="1" applyAlignment="1">
      <alignment horizontal="center"/>
    </xf>
    <xf numFmtId="43" fontId="51" fillId="0" borderId="11" xfId="48" applyFont="1" applyBorder="1" applyAlignment="1">
      <alignment/>
    </xf>
    <xf numFmtId="43" fontId="51" fillId="0" borderId="14" xfId="48" applyFont="1" applyBorder="1" applyAlignment="1">
      <alignment/>
    </xf>
    <xf numFmtId="43" fontId="51" fillId="0" borderId="12" xfId="48" applyFont="1" applyBorder="1" applyAlignment="1">
      <alignment/>
    </xf>
    <xf numFmtId="43" fontId="51" fillId="0" borderId="15" xfId="48" applyFont="1" applyBorder="1" applyAlignment="1">
      <alignment/>
    </xf>
    <xf numFmtId="43" fontId="51" fillId="0" borderId="13" xfId="48" applyFont="1" applyBorder="1" applyAlignment="1">
      <alignment/>
    </xf>
    <xf numFmtId="0" fontId="51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 horizontal="center"/>
    </xf>
    <xf numFmtId="43" fontId="7" fillId="0" borderId="25" xfId="48" applyFont="1" applyBorder="1" applyAlignment="1">
      <alignment horizontal="center"/>
    </xf>
    <xf numFmtId="0" fontId="7" fillId="0" borderId="18" xfId="0" applyFont="1" applyBorder="1" applyAlignment="1">
      <alignment/>
    </xf>
    <xf numFmtId="2" fontId="7" fillId="0" borderId="26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43" fontId="7" fillId="0" borderId="21" xfId="48" applyFont="1" applyBorder="1" applyAlignment="1">
      <alignment horizontal="center"/>
    </xf>
    <xf numFmtId="165" fontId="7" fillId="0" borderId="18" xfId="0" applyNumberFormat="1" applyFont="1" applyBorder="1" applyAlignment="1">
      <alignment/>
    </xf>
    <xf numFmtId="43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4" fontId="7" fillId="0" borderId="29" xfId="0" applyNumberFormat="1" applyFont="1" applyBorder="1" applyAlignment="1">
      <alignment/>
    </xf>
    <xf numFmtId="37" fontId="7" fillId="0" borderId="23" xfId="0" applyNumberFormat="1" applyFont="1" applyBorder="1" applyAlignment="1">
      <alignment/>
    </xf>
    <xf numFmtId="43" fontId="7" fillId="0" borderId="2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43" fontId="7" fillId="0" borderId="30" xfId="0" applyNumberFormat="1" applyFont="1" applyBorder="1" applyAlignment="1">
      <alignment/>
    </xf>
    <xf numFmtId="43" fontId="7" fillId="0" borderId="31" xfId="0" applyNumberFormat="1" applyFont="1" applyBorder="1" applyAlignment="1">
      <alignment/>
    </xf>
    <xf numFmtId="175" fontId="7" fillId="0" borderId="20" xfId="48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43" fontId="7" fillId="0" borderId="20" xfId="48" applyFont="1" applyBorder="1" applyAlignment="1">
      <alignment/>
    </xf>
    <xf numFmtId="0" fontId="7" fillId="0" borderId="10" xfId="0" applyFont="1" applyBorder="1" applyAlignment="1">
      <alignment/>
    </xf>
    <xf numFmtId="175" fontId="7" fillId="0" borderId="32" xfId="0" applyNumberFormat="1" applyFont="1" applyBorder="1" applyAlignment="1">
      <alignment/>
    </xf>
    <xf numFmtId="0" fontId="7" fillId="0" borderId="29" xfId="0" applyFont="1" applyBorder="1" applyAlignment="1">
      <alignment/>
    </xf>
    <xf numFmtId="43" fontId="7" fillId="0" borderId="10" xfId="48" applyFont="1" applyBorder="1" applyAlignment="1">
      <alignment/>
    </xf>
    <xf numFmtId="43" fontId="7" fillId="0" borderId="31" xfId="48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27" xfId="0" applyFont="1" applyBorder="1" applyAlignment="1">
      <alignment/>
    </xf>
    <xf numFmtId="2" fontId="7" fillId="0" borderId="34" xfId="0" applyNumberFormat="1" applyFont="1" applyBorder="1" applyAlignment="1">
      <alignment/>
    </xf>
    <xf numFmtId="43" fontId="7" fillId="0" borderId="30" xfId="48" applyFont="1" applyBorder="1" applyAlignment="1">
      <alignment/>
    </xf>
    <xf numFmtId="39" fontId="7" fillId="0" borderId="0" xfId="0" applyNumberFormat="1" applyFont="1" applyBorder="1" applyAlignment="1">
      <alignment/>
    </xf>
    <xf numFmtId="43" fontId="7" fillId="0" borderId="29" xfId="0" applyNumberFormat="1" applyFont="1" applyBorder="1" applyAlignment="1">
      <alignment/>
    </xf>
    <xf numFmtId="39" fontId="7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35" xfId="0" applyFont="1" applyFill="1" applyBorder="1" applyAlignment="1">
      <alignment/>
    </xf>
    <xf numFmtId="43" fontId="0" fillId="0" borderId="0" xfId="48" applyFont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8" fillId="0" borderId="11" xfId="48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35.00390625" style="0" customWidth="1"/>
    <col min="2" max="2" width="16.140625" style="0" customWidth="1"/>
    <col min="3" max="3" width="24.140625" style="0" customWidth="1"/>
    <col min="4" max="4" width="15.7109375" style="1" customWidth="1"/>
    <col min="5" max="5" width="17.421875" style="1" customWidth="1"/>
    <col min="6" max="6" width="19.7109375" style="1" customWidth="1"/>
    <col min="7" max="8" width="15.7109375" style="1" customWidth="1"/>
    <col min="9" max="9" width="12.8515625" style="0" customWidth="1"/>
    <col min="10" max="10" width="15.7109375" style="0" customWidth="1"/>
    <col min="11" max="11" width="12.140625" style="0" bestFit="1" customWidth="1"/>
  </cols>
  <sheetData>
    <row r="1" spans="2:8" ht="12.75">
      <c r="B1" s="111" t="s">
        <v>32</v>
      </c>
      <c r="C1" s="111"/>
      <c r="D1" s="111"/>
      <c r="E1" s="111"/>
      <c r="F1" s="111"/>
      <c r="G1" s="111"/>
      <c r="H1" s="111"/>
    </row>
    <row r="2" spans="2:8" ht="12.75">
      <c r="B2" s="111" t="s">
        <v>33</v>
      </c>
      <c r="C2" s="111"/>
      <c r="D2" s="111"/>
      <c r="E2" s="111"/>
      <c r="F2" s="111"/>
      <c r="G2" s="111"/>
      <c r="H2" s="111"/>
    </row>
    <row r="3" spans="2:8" ht="12.75">
      <c r="B3" s="111" t="s">
        <v>131</v>
      </c>
      <c r="C3" s="111"/>
      <c r="D3" s="111"/>
      <c r="E3" s="111"/>
      <c r="F3" s="111"/>
      <c r="G3" s="111"/>
      <c r="H3" s="111"/>
    </row>
    <row r="4" spans="2:8" ht="12.75">
      <c r="B4" s="111" t="s">
        <v>34</v>
      </c>
      <c r="C4" s="111"/>
      <c r="D4" s="111"/>
      <c r="E4" s="111"/>
      <c r="F4" s="111"/>
      <c r="G4" s="111"/>
      <c r="H4" s="111"/>
    </row>
    <row r="5" spans="2:8" ht="13.5" thickBot="1">
      <c r="B5" s="2"/>
      <c r="C5" s="2"/>
      <c r="D5" s="2"/>
      <c r="E5" s="2"/>
      <c r="F5" s="2"/>
      <c r="G5" s="2"/>
      <c r="H5" s="2"/>
    </row>
    <row r="6" spans="4:5" ht="12" customHeight="1" thickBot="1">
      <c r="D6" s="46" t="s">
        <v>132</v>
      </c>
      <c r="E6" s="105" t="s">
        <v>165</v>
      </c>
    </row>
    <row r="7" ht="12" customHeight="1" thickBot="1">
      <c r="D7" s="46" t="s">
        <v>133</v>
      </c>
    </row>
    <row r="8" spans="2:9" s="3" customFormat="1" ht="13.5" thickBot="1">
      <c r="B8" s="5"/>
      <c r="C8" s="44" t="s">
        <v>26</v>
      </c>
      <c r="D8" s="6" t="s">
        <v>25</v>
      </c>
      <c r="E8" s="45" t="s">
        <v>24</v>
      </c>
      <c r="F8" s="6" t="s">
        <v>23</v>
      </c>
      <c r="G8" s="6" t="s">
        <v>22</v>
      </c>
      <c r="H8" s="6" t="s">
        <v>21</v>
      </c>
      <c r="I8" s="58" t="s">
        <v>136</v>
      </c>
    </row>
    <row r="9" spans="4:9" s="3" customFormat="1" ht="1.5" customHeight="1">
      <c r="D9" s="4"/>
      <c r="E9" s="4"/>
      <c r="F9" s="4"/>
      <c r="G9" s="4"/>
      <c r="H9" s="4"/>
      <c r="I9" s="59"/>
    </row>
    <row r="10" spans="2:9" ht="12.75">
      <c r="B10" s="7"/>
      <c r="C10" s="7" t="s">
        <v>0</v>
      </c>
      <c r="D10" s="8">
        <v>31660</v>
      </c>
      <c r="E10" s="8">
        <f>B57</f>
        <v>198309.16666666666</v>
      </c>
      <c r="F10" s="8"/>
      <c r="G10" s="8"/>
      <c r="H10" s="8"/>
      <c r="I10" s="60">
        <v>150000</v>
      </c>
    </row>
    <row r="11" spans="2:9" ht="12.75">
      <c r="B11" s="7"/>
      <c r="C11" s="9" t="s">
        <v>1</v>
      </c>
      <c r="D11" s="8"/>
      <c r="E11" s="8"/>
      <c r="F11" s="8"/>
      <c r="G11" s="8"/>
      <c r="H11" s="8"/>
      <c r="I11" s="60"/>
    </row>
    <row r="12" spans="2:9" ht="12.75">
      <c r="B12" s="7"/>
      <c r="C12" s="7" t="s">
        <v>2</v>
      </c>
      <c r="D12" s="8"/>
      <c r="E12" s="8">
        <v>6000</v>
      </c>
      <c r="F12" s="8"/>
      <c r="G12" s="8"/>
      <c r="H12" s="8"/>
      <c r="I12" s="60"/>
    </row>
    <row r="13" spans="2:9" ht="12.75">
      <c r="B13" s="7"/>
      <c r="C13" s="7" t="s">
        <v>3</v>
      </c>
      <c r="D13" s="8">
        <v>150000</v>
      </c>
      <c r="E13" s="8">
        <v>414000</v>
      </c>
      <c r="F13" s="8"/>
      <c r="G13" s="8"/>
      <c r="H13" s="8"/>
      <c r="I13" s="60"/>
    </row>
    <row r="14" spans="2:9" ht="12.75">
      <c r="B14" s="7"/>
      <c r="C14" s="7" t="s">
        <v>4</v>
      </c>
      <c r="D14" s="8">
        <v>3500</v>
      </c>
      <c r="E14" s="8">
        <v>5500</v>
      </c>
      <c r="F14" s="8"/>
      <c r="G14" s="8"/>
      <c r="H14" s="8"/>
      <c r="I14" s="60"/>
    </row>
    <row r="15" spans="2:9" ht="12.75">
      <c r="B15" s="7"/>
      <c r="C15" s="7" t="s">
        <v>5</v>
      </c>
      <c r="D15" s="8">
        <v>10000</v>
      </c>
      <c r="E15" s="8"/>
      <c r="F15" s="8"/>
      <c r="G15" s="8"/>
      <c r="H15" s="8"/>
      <c r="I15" s="60"/>
    </row>
    <row r="16" spans="2:9" ht="12.75">
      <c r="B16" s="7"/>
      <c r="C16" s="7" t="s">
        <v>6</v>
      </c>
      <c r="D16" s="8"/>
      <c r="E16" s="8"/>
      <c r="F16" s="8">
        <f>E35</f>
        <v>22632.024999999994</v>
      </c>
      <c r="G16" s="8"/>
      <c r="H16" s="8"/>
      <c r="I16" s="60"/>
    </row>
    <row r="17" spans="2:9" ht="13.5" thickBot="1">
      <c r="B17" s="7"/>
      <c r="C17" s="7" t="s">
        <v>7</v>
      </c>
      <c r="D17" s="14"/>
      <c r="E17" s="14"/>
      <c r="F17" s="14"/>
      <c r="G17" s="14">
        <f>B59</f>
        <v>99154.58333333333</v>
      </c>
      <c r="H17" s="14"/>
      <c r="I17" s="61"/>
    </row>
    <row r="18" spans="2:9" ht="12.75">
      <c r="B18" s="7"/>
      <c r="C18" s="10" t="s">
        <v>8</v>
      </c>
      <c r="D18" s="12">
        <f>SUM(D10:D17)</f>
        <v>195160</v>
      </c>
      <c r="E18" s="12">
        <f>SUM(E12:E15)</f>
        <v>425500</v>
      </c>
      <c r="F18" s="12">
        <f>F16</f>
        <v>22632.024999999994</v>
      </c>
      <c r="G18" s="12">
        <f>SUM(G10:G17)</f>
        <v>99154.58333333333</v>
      </c>
      <c r="H18" s="12">
        <f>SUM(H10:H17)</f>
        <v>0</v>
      </c>
      <c r="I18" s="62">
        <f>SUM(I10:I17)</f>
        <v>150000</v>
      </c>
    </row>
    <row r="19" spans="2:9" ht="12.75">
      <c r="B19" s="7"/>
      <c r="C19" s="9" t="s">
        <v>9</v>
      </c>
      <c r="D19" s="8"/>
      <c r="E19" s="8"/>
      <c r="F19" s="8"/>
      <c r="G19" s="8"/>
      <c r="H19" s="8"/>
      <c r="I19" s="60"/>
    </row>
    <row r="20" spans="2:9" ht="12.75">
      <c r="B20" s="7"/>
      <c r="C20" s="7" t="s">
        <v>10</v>
      </c>
      <c r="D20" s="8">
        <v>113000</v>
      </c>
      <c r="E20" s="8">
        <v>120000</v>
      </c>
      <c r="F20" s="8"/>
      <c r="G20" s="8"/>
      <c r="H20" s="8"/>
      <c r="I20" s="60"/>
    </row>
    <row r="21" spans="2:9" ht="12.75">
      <c r="B21" s="7"/>
      <c r="C21" s="7" t="s">
        <v>11</v>
      </c>
      <c r="D21" s="8">
        <v>52000</v>
      </c>
      <c r="E21" s="8">
        <v>30500</v>
      </c>
      <c r="F21" s="8"/>
      <c r="G21" s="8"/>
      <c r="H21" s="8"/>
      <c r="I21" s="60"/>
    </row>
    <row r="22" spans="2:9" ht="13.5" thickBot="1">
      <c r="B22" s="7"/>
      <c r="C22" s="7" t="s">
        <v>12</v>
      </c>
      <c r="D22" s="14">
        <v>23750</v>
      </c>
      <c r="E22" s="14">
        <v>14800</v>
      </c>
      <c r="F22" s="14"/>
      <c r="G22" s="14"/>
      <c r="H22" s="14"/>
      <c r="I22" s="61"/>
    </row>
    <row r="23" spans="2:9" ht="12.75">
      <c r="B23" s="7"/>
      <c r="C23" s="10" t="s">
        <v>8</v>
      </c>
      <c r="D23" s="12">
        <f aca="true" t="shared" si="0" ref="D23:I23">SUM(D20:D22)</f>
        <v>188750</v>
      </c>
      <c r="E23" s="12">
        <f t="shared" si="0"/>
        <v>165300</v>
      </c>
      <c r="F23" s="12">
        <f t="shared" si="0"/>
        <v>0</v>
      </c>
      <c r="G23" s="12">
        <f t="shared" si="0"/>
        <v>0</v>
      </c>
      <c r="H23" s="12">
        <f t="shared" si="0"/>
        <v>0</v>
      </c>
      <c r="I23" s="62">
        <f t="shared" si="0"/>
        <v>0</v>
      </c>
    </row>
    <row r="24" spans="2:9" ht="12.75">
      <c r="B24" s="7"/>
      <c r="C24" s="9" t="s">
        <v>13</v>
      </c>
      <c r="D24" s="8"/>
      <c r="E24" s="8"/>
      <c r="F24" s="8"/>
      <c r="G24" s="8"/>
      <c r="H24" s="8"/>
      <c r="I24" s="60"/>
    </row>
    <row r="25" spans="2:9" ht="12.75">
      <c r="B25" s="7"/>
      <c r="C25" s="7" t="s">
        <v>14</v>
      </c>
      <c r="D25" s="8">
        <v>2000</v>
      </c>
      <c r="E25" s="8">
        <v>11000</v>
      </c>
      <c r="F25" s="8"/>
      <c r="G25" s="8"/>
      <c r="H25" s="8"/>
      <c r="I25" s="60"/>
    </row>
    <row r="26" spans="2:9" ht="12.75">
      <c r="B26" s="7"/>
      <c r="C26" s="7" t="s">
        <v>15</v>
      </c>
      <c r="D26" s="8">
        <v>5000</v>
      </c>
      <c r="E26" s="8">
        <v>4000</v>
      </c>
      <c r="F26" s="8"/>
      <c r="G26" s="8"/>
      <c r="H26" s="8"/>
      <c r="I26" s="60"/>
    </row>
    <row r="27" spans="2:9" ht="12.75">
      <c r="B27" s="7"/>
      <c r="C27" s="7" t="s">
        <v>16</v>
      </c>
      <c r="D27" s="8">
        <v>1500</v>
      </c>
      <c r="E27" s="8">
        <v>16500</v>
      </c>
      <c r="F27" s="8"/>
      <c r="G27" s="8"/>
      <c r="H27" s="8"/>
      <c r="I27" s="60"/>
    </row>
    <row r="28" spans="2:9" ht="12.75">
      <c r="B28" s="7"/>
      <c r="C28" s="7" t="s">
        <v>17</v>
      </c>
      <c r="D28" s="8">
        <f>90000*5/100/12</f>
        <v>375</v>
      </c>
      <c r="E28" s="8">
        <f>90000*5/100/12*11</f>
        <v>4125</v>
      </c>
      <c r="F28" s="8"/>
      <c r="G28" s="8"/>
      <c r="H28" s="8"/>
      <c r="I28" s="60"/>
    </row>
    <row r="29" spans="2:9" ht="12.75">
      <c r="B29" s="7"/>
      <c r="C29" s="7" t="s">
        <v>18</v>
      </c>
      <c r="D29" s="8">
        <f>230000*20/100/12</f>
        <v>3833.3333333333335</v>
      </c>
      <c r="E29" s="8">
        <f>230000*20/100/12*11</f>
        <v>42166.66666666667</v>
      </c>
      <c r="F29" s="8"/>
      <c r="G29" s="8"/>
      <c r="H29" s="8"/>
      <c r="I29" s="60"/>
    </row>
    <row r="30" spans="2:9" ht="12.75">
      <c r="B30" s="7"/>
      <c r="C30" s="7" t="s">
        <v>19</v>
      </c>
      <c r="D30" s="8"/>
      <c r="E30" s="8">
        <v>15500</v>
      </c>
      <c r="F30" s="8"/>
      <c r="G30" s="8"/>
      <c r="H30" s="8"/>
      <c r="I30" s="60"/>
    </row>
    <row r="31" spans="2:9" ht="12.75">
      <c r="B31" s="7"/>
      <c r="C31" s="7" t="s">
        <v>145</v>
      </c>
      <c r="D31" s="8"/>
      <c r="E31" s="8">
        <f>G59</f>
        <v>85809.16666666666</v>
      </c>
      <c r="F31" s="8"/>
      <c r="G31" s="8"/>
      <c r="H31" s="8"/>
      <c r="I31" s="60"/>
    </row>
    <row r="32" spans="2:9" ht="13.5" thickBot="1">
      <c r="B32" s="7"/>
      <c r="C32" s="7" t="s">
        <v>20</v>
      </c>
      <c r="D32" s="14"/>
      <c r="E32" s="14"/>
      <c r="F32" s="14">
        <v>35000</v>
      </c>
      <c r="G32" s="14">
        <v>50000</v>
      </c>
      <c r="H32" s="14"/>
      <c r="I32" s="61"/>
    </row>
    <row r="33" spans="2:9" ht="13.5" thickBot="1">
      <c r="B33" s="7"/>
      <c r="C33" s="10" t="s">
        <v>8</v>
      </c>
      <c r="D33" s="15">
        <f>SUM(D25:D32)</f>
        <v>12708.333333333334</v>
      </c>
      <c r="E33" s="15">
        <f>SUM(E25:E32)</f>
        <v>179100.8333333333</v>
      </c>
      <c r="F33" s="15">
        <f>SUM(F25:F32)</f>
        <v>35000</v>
      </c>
      <c r="G33" s="15">
        <f>SUM(G25:G32)</f>
        <v>50000</v>
      </c>
      <c r="H33" s="15"/>
      <c r="I33" s="63"/>
    </row>
    <row r="34" spans="2:10" ht="12.75">
      <c r="B34" s="7"/>
      <c r="C34" s="9" t="s">
        <v>27</v>
      </c>
      <c r="D34" s="12">
        <f>D18+D23+D33</f>
        <v>396618.3333333333</v>
      </c>
      <c r="E34" s="12">
        <f>E18+E23+E33</f>
        <v>769900.8333333333</v>
      </c>
      <c r="F34" s="12">
        <f>F18+F23+F33</f>
        <v>57632.024999999994</v>
      </c>
      <c r="G34" s="12">
        <f>G18+G23+G33</f>
        <v>149154.5833333333</v>
      </c>
      <c r="H34" s="12"/>
      <c r="I34" s="62"/>
      <c r="J34" s="50" t="s">
        <v>137</v>
      </c>
    </row>
    <row r="35" spans="2:9" ht="13.5" thickBot="1">
      <c r="B35" s="11" t="s">
        <v>28</v>
      </c>
      <c r="C35" s="7" t="s">
        <v>29</v>
      </c>
      <c r="D35" s="14"/>
      <c r="E35" s="14">
        <f>L37</f>
        <v>22632.024999999994</v>
      </c>
      <c r="F35" s="14"/>
      <c r="G35" s="14"/>
      <c r="H35" s="14"/>
      <c r="I35" s="61"/>
    </row>
    <row r="36" spans="2:12" ht="12.75">
      <c r="B36" s="7"/>
      <c r="C36" s="9" t="s">
        <v>27</v>
      </c>
      <c r="D36" s="12">
        <f>D34-D35</f>
        <v>396618.3333333333</v>
      </c>
      <c r="E36" s="12">
        <f>E34-E35</f>
        <v>747268.8083333332</v>
      </c>
      <c r="F36" s="12">
        <f>F34-F35</f>
        <v>57632.024999999994</v>
      </c>
      <c r="G36" s="12">
        <f>G34-G35</f>
        <v>149154.5833333333</v>
      </c>
      <c r="H36" s="12">
        <f>H38*H40</f>
        <v>15000</v>
      </c>
      <c r="I36" s="62">
        <f>I18</f>
        <v>150000</v>
      </c>
      <c r="J36" s="51">
        <f>SUM(E23+E33+E18)-E30</f>
        <v>754400.8333333333</v>
      </c>
      <c r="K36">
        <v>10000</v>
      </c>
      <c r="L36">
        <f>J36/K36</f>
        <v>75.44008333333332</v>
      </c>
    </row>
    <row r="37" spans="2:12" ht="12.75">
      <c r="B37" s="7"/>
      <c r="C37" s="7"/>
      <c r="D37" s="8"/>
      <c r="E37" s="8"/>
      <c r="F37" s="8"/>
      <c r="G37" s="8"/>
      <c r="H37" s="8"/>
      <c r="I37" s="60"/>
      <c r="K37">
        <v>300</v>
      </c>
      <c r="L37">
        <f>L36*K37</f>
        <v>22632.024999999994</v>
      </c>
    </row>
    <row r="38" spans="2:9" ht="12.75">
      <c r="B38" s="7"/>
      <c r="C38" s="7" t="s">
        <v>30</v>
      </c>
      <c r="D38" s="8">
        <v>15000</v>
      </c>
      <c r="E38" s="8">
        <f>10000*0.97</f>
        <v>9700</v>
      </c>
      <c r="F38" s="8">
        <v>300</v>
      </c>
      <c r="G38" s="8">
        <v>3750</v>
      </c>
      <c r="H38" s="8">
        <v>3000</v>
      </c>
      <c r="I38" s="60"/>
    </row>
    <row r="39" spans="2:9" ht="13.5" thickBot="1">
      <c r="B39" s="7"/>
      <c r="C39" s="7"/>
      <c r="D39" s="14"/>
      <c r="E39" s="14"/>
      <c r="F39" s="14"/>
      <c r="G39" s="14"/>
      <c r="H39" s="14"/>
      <c r="I39" s="61"/>
    </row>
    <row r="40" spans="2:9" ht="13.5" thickBot="1">
      <c r="B40" s="7"/>
      <c r="C40" s="7" t="s">
        <v>31</v>
      </c>
      <c r="D40" s="13">
        <f>D36/D38</f>
        <v>26.441222222222223</v>
      </c>
      <c r="E40" s="13">
        <f>E36/E38</f>
        <v>77.03802147766322</v>
      </c>
      <c r="F40" s="13">
        <f>F36/F38</f>
        <v>192.10674999999998</v>
      </c>
      <c r="G40" s="13">
        <f>G36/G38</f>
        <v>39.77455555555555</v>
      </c>
      <c r="H40" s="13">
        <v>5</v>
      </c>
      <c r="I40" s="64">
        <f>I36</f>
        <v>150000</v>
      </c>
    </row>
    <row r="41" spans="2:9" ht="13.5" thickTop="1">
      <c r="B41" s="7"/>
      <c r="C41" s="7"/>
      <c r="D41" s="12"/>
      <c r="E41" s="12"/>
      <c r="F41" s="12"/>
      <c r="G41" s="12"/>
      <c r="H41" s="12"/>
      <c r="I41" s="62"/>
    </row>
    <row r="42" spans="2:9" ht="12.75">
      <c r="B42" s="7"/>
      <c r="C42" s="7"/>
      <c r="D42" s="8"/>
      <c r="E42" s="8"/>
      <c r="F42" s="8"/>
      <c r="G42" s="8"/>
      <c r="H42" s="8"/>
      <c r="I42" s="60"/>
    </row>
    <row r="43" ht="12.75">
      <c r="I43" s="65"/>
    </row>
    <row r="44" ht="12.75">
      <c r="I44" s="65"/>
    </row>
    <row r="45" ht="12.75">
      <c r="I45" s="65"/>
    </row>
    <row r="49" spans="1:10" s="25" customFormat="1" ht="31.5">
      <c r="A49" s="22"/>
      <c r="B49" s="23" t="s">
        <v>134</v>
      </c>
      <c r="C49" s="23" t="s">
        <v>108</v>
      </c>
      <c r="D49" s="23"/>
      <c r="E49" s="52" t="s">
        <v>138</v>
      </c>
      <c r="F49" s="23" t="s">
        <v>109</v>
      </c>
      <c r="G49" s="23" t="s">
        <v>110</v>
      </c>
      <c r="H49" s="23"/>
      <c r="I49" s="24"/>
      <c r="J49" s="24"/>
    </row>
    <row r="50" spans="1:10" s="25" customFormat="1" ht="15">
      <c r="A50" s="25" t="s">
        <v>111</v>
      </c>
      <c r="B50" s="26">
        <v>15830</v>
      </c>
      <c r="C50" s="27">
        <v>10000</v>
      </c>
      <c r="D50" s="28"/>
      <c r="E50" s="27">
        <v>3750</v>
      </c>
      <c r="F50" s="27">
        <v>300</v>
      </c>
      <c r="G50" s="27">
        <v>3000</v>
      </c>
      <c r="H50" s="27"/>
      <c r="I50" s="24"/>
      <c r="J50" s="24"/>
    </row>
    <row r="51" spans="1:10" s="25" customFormat="1" ht="15">
      <c r="A51" s="25" t="s">
        <v>112</v>
      </c>
      <c r="B51" s="29">
        <v>750</v>
      </c>
      <c r="C51" s="27">
        <f>C50*0.03</f>
        <v>300</v>
      </c>
      <c r="D51" s="28"/>
      <c r="E51" s="27"/>
      <c r="F51" s="27"/>
      <c r="G51" s="27"/>
      <c r="H51" s="27"/>
      <c r="I51" s="24"/>
      <c r="J51" s="24"/>
    </row>
    <row r="52" spans="1:10" s="25" customFormat="1" ht="15">
      <c r="A52" s="25" t="s">
        <v>135</v>
      </c>
      <c r="B52" s="29">
        <v>80</v>
      </c>
      <c r="C52" s="27"/>
      <c r="D52" s="28"/>
      <c r="E52" s="27"/>
      <c r="F52" s="27"/>
      <c r="G52" s="27"/>
      <c r="H52" s="27"/>
      <c r="I52" s="24"/>
      <c r="J52" s="24"/>
    </row>
    <row r="53" spans="1:10" s="25" customFormat="1" ht="15">
      <c r="A53" s="25" t="s">
        <v>113</v>
      </c>
      <c r="B53" s="30">
        <f>B50-B51-B52</f>
        <v>15000</v>
      </c>
      <c r="C53" s="30">
        <f>SUM(C50-C51)</f>
        <v>9700</v>
      </c>
      <c r="D53" s="28"/>
      <c r="E53" s="30">
        <f>SUM(E50-E51)</f>
        <v>3750</v>
      </c>
      <c r="F53" s="30">
        <f>SUM(F50-F51)</f>
        <v>300</v>
      </c>
      <c r="G53" s="30">
        <f>SUM(G50-G51)</f>
        <v>3000</v>
      </c>
      <c r="H53" s="30"/>
      <c r="I53" s="24"/>
      <c r="J53" s="24"/>
    </row>
    <row r="54" spans="1:10" s="25" customFormat="1" ht="15">
      <c r="A54" s="25" t="s">
        <v>114</v>
      </c>
      <c r="B54" s="31">
        <f>D36/B53</f>
        <v>26.441222222222223</v>
      </c>
      <c r="C54" s="31">
        <f>E36/C53</f>
        <v>77.03802147766322</v>
      </c>
      <c r="D54" s="31"/>
      <c r="E54" s="31">
        <f>G36/E53</f>
        <v>39.77455555555555</v>
      </c>
      <c r="F54" s="31">
        <f>F36/F53</f>
        <v>192.10674999999998</v>
      </c>
      <c r="G54" s="47">
        <f>H36/G53</f>
        <v>5</v>
      </c>
      <c r="H54" s="31"/>
      <c r="I54" s="24"/>
      <c r="J54" s="24"/>
    </row>
    <row r="55" spans="2:10" s="25" customFormat="1" ht="15">
      <c r="B55" s="24"/>
      <c r="C55" s="24"/>
      <c r="D55" s="24"/>
      <c r="E55" s="24"/>
      <c r="F55" s="24"/>
      <c r="G55" s="24"/>
      <c r="H55" s="24"/>
      <c r="I55" s="24"/>
      <c r="J55" s="24"/>
    </row>
    <row r="56" spans="1:11" s="25" customFormat="1" ht="15.75">
      <c r="A56" s="32" t="s">
        <v>115</v>
      </c>
      <c r="B56" s="29">
        <v>7500</v>
      </c>
      <c r="C56" s="24"/>
      <c r="D56" s="24"/>
      <c r="E56" s="33" t="s">
        <v>116</v>
      </c>
      <c r="F56" s="28"/>
      <c r="G56" s="28"/>
      <c r="H56" s="24"/>
      <c r="J56" s="24"/>
      <c r="K56" s="34"/>
    </row>
    <row r="57" spans="1:11" s="25" customFormat="1" ht="15">
      <c r="A57" s="25" t="s">
        <v>117</v>
      </c>
      <c r="B57" s="24">
        <f>SUM(B56*B54)</f>
        <v>198309.16666666666</v>
      </c>
      <c r="D57" s="34">
        <v>7500</v>
      </c>
      <c r="E57" s="25" t="s">
        <v>118</v>
      </c>
      <c r="F57" s="35"/>
      <c r="G57" s="35">
        <f>SUM(B57)</f>
        <v>198309.16666666666</v>
      </c>
      <c r="H57" s="24"/>
      <c r="J57" s="24"/>
      <c r="K57" s="34"/>
    </row>
    <row r="58" spans="1:11" s="25" customFormat="1" ht="16.5" thickBot="1">
      <c r="A58" s="32" t="s">
        <v>119</v>
      </c>
      <c r="B58" s="36">
        <f>B53*25/100</f>
        <v>3750</v>
      </c>
      <c r="D58" s="25" t="s">
        <v>120</v>
      </c>
      <c r="F58" s="35"/>
      <c r="G58" s="48">
        <v>112500</v>
      </c>
      <c r="H58" s="24"/>
      <c r="I58" s="24"/>
      <c r="J58" s="24"/>
      <c r="K58" s="34"/>
    </row>
    <row r="59" spans="1:10" s="25" customFormat="1" ht="16.5" thickBot="1">
      <c r="A59" s="25" t="s">
        <v>117</v>
      </c>
      <c r="B59" s="24">
        <f>SUM(B54*B58)</f>
        <v>99154.58333333333</v>
      </c>
      <c r="C59" s="34"/>
      <c r="D59" s="25" t="s">
        <v>121</v>
      </c>
      <c r="F59" s="35"/>
      <c r="G59" s="49">
        <f>G57-G58</f>
        <v>85809.16666666666</v>
      </c>
      <c r="H59" s="24"/>
      <c r="I59" s="24"/>
      <c r="J59" s="24"/>
    </row>
    <row r="60" spans="2:10" s="25" customFormat="1" ht="15.75">
      <c r="B60" s="37"/>
      <c r="F60" s="35"/>
      <c r="G60" s="38"/>
      <c r="H60" s="24"/>
      <c r="I60" s="24"/>
      <c r="J60" s="24"/>
    </row>
    <row r="61" spans="2:10" s="25" customFormat="1" ht="15.75">
      <c r="B61" s="37"/>
      <c r="C61" s="102" t="s">
        <v>98</v>
      </c>
      <c r="F61" s="35"/>
      <c r="G61" s="38"/>
      <c r="H61" s="24"/>
      <c r="I61" s="24"/>
      <c r="J61" s="24"/>
    </row>
    <row r="62" spans="1:10" s="25" customFormat="1" ht="15.75">
      <c r="A62" s="32"/>
      <c r="B62" s="37"/>
      <c r="D62" s="32" t="s">
        <v>122</v>
      </c>
      <c r="H62" s="24"/>
      <c r="I62" s="24"/>
      <c r="J62" s="24"/>
    </row>
    <row r="63" spans="2:10" s="25" customFormat="1" ht="15">
      <c r="B63" s="37"/>
      <c r="F63" s="25" t="s">
        <v>114</v>
      </c>
      <c r="G63" s="25" t="s">
        <v>123</v>
      </c>
      <c r="H63" s="24"/>
      <c r="I63" s="24"/>
      <c r="J63" s="24"/>
    </row>
    <row r="64" spans="2:10" s="25" customFormat="1" ht="15">
      <c r="B64" s="35"/>
      <c r="G64" s="24"/>
      <c r="H64" s="24"/>
      <c r="I64" s="24"/>
      <c r="J64" s="24">
        <f>720*20</f>
        <v>14400</v>
      </c>
    </row>
    <row r="65" spans="2:10" s="25" customFormat="1" ht="15">
      <c r="B65" s="35"/>
      <c r="D65" s="25" t="s">
        <v>124</v>
      </c>
      <c r="E65" s="39">
        <f>SUM(C53)</f>
        <v>9700</v>
      </c>
      <c r="F65" s="40">
        <f>SUM(C54)</f>
        <v>77.03802147766322</v>
      </c>
      <c r="G65" s="41">
        <f>E65*F65</f>
        <v>747268.8083333332</v>
      </c>
      <c r="H65" s="24"/>
      <c r="I65" s="24"/>
      <c r="J65" s="24"/>
    </row>
    <row r="66" spans="2:10" s="25" customFormat="1" ht="15">
      <c r="B66" s="35"/>
      <c r="D66" s="25" t="s">
        <v>125</v>
      </c>
      <c r="E66" s="25">
        <f>SUM(E64:E65)</f>
        <v>9700</v>
      </c>
      <c r="G66" s="34">
        <f>G64+G65</f>
        <v>747268.8083333332</v>
      </c>
      <c r="H66" s="24"/>
      <c r="I66" s="24"/>
      <c r="J66" s="24"/>
    </row>
    <row r="67" spans="2:10" s="25" customFormat="1" ht="15">
      <c r="B67" s="35"/>
      <c r="D67" s="25" t="s">
        <v>126</v>
      </c>
      <c r="E67" s="25">
        <v>8730</v>
      </c>
      <c r="F67" s="42">
        <f>F65</f>
        <v>77.03802147766322</v>
      </c>
      <c r="G67" s="24">
        <f>F67*E67</f>
        <v>672541.9274999999</v>
      </c>
      <c r="H67" s="24"/>
      <c r="I67" s="24">
        <f>G66-G67</f>
        <v>74726.88083333336</v>
      </c>
      <c r="J67" s="24" t="s">
        <v>147</v>
      </c>
    </row>
    <row r="68" spans="2:10" s="25" customFormat="1" ht="15.75">
      <c r="B68" s="35"/>
      <c r="D68" s="25" t="s">
        <v>139</v>
      </c>
      <c r="F68" s="32"/>
      <c r="G68" s="24"/>
      <c r="H68" s="24"/>
      <c r="I68" s="24"/>
      <c r="J68" s="24"/>
    </row>
    <row r="69" spans="2:10" s="25" customFormat="1" ht="15">
      <c r="B69" s="35"/>
      <c r="G69" s="24"/>
      <c r="H69" s="24"/>
      <c r="I69" s="24"/>
      <c r="J69" s="24"/>
    </row>
    <row r="70" spans="1:10" s="25" customFormat="1" ht="15.75">
      <c r="A70" s="32"/>
      <c r="B70" s="35"/>
      <c r="D70" s="25" t="s">
        <v>127</v>
      </c>
      <c r="E70" s="25">
        <f>E66*90/100</f>
        <v>8730</v>
      </c>
      <c r="F70" s="25">
        <v>300</v>
      </c>
      <c r="G70" s="24">
        <f>E70*F70</f>
        <v>2619000</v>
      </c>
      <c r="H70" s="24"/>
      <c r="I70" s="24"/>
      <c r="J70" s="24"/>
    </row>
    <row r="71" spans="4:10" s="25" customFormat="1" ht="15">
      <c r="D71" s="53" t="s">
        <v>128</v>
      </c>
      <c r="E71" s="53">
        <f>SUM(E69:E70)</f>
        <v>8730</v>
      </c>
      <c r="F71" s="53">
        <v>300</v>
      </c>
      <c r="G71" s="54">
        <f>E71*F71</f>
        <v>2619000</v>
      </c>
      <c r="H71" s="24"/>
      <c r="I71" s="24"/>
      <c r="J71" s="24"/>
    </row>
    <row r="72" spans="8:10" s="25" customFormat="1" ht="15">
      <c r="H72" s="24"/>
      <c r="I72" s="24"/>
      <c r="J72" s="24"/>
    </row>
    <row r="73" spans="8:10" s="25" customFormat="1" ht="15.75" thickBot="1">
      <c r="H73" s="24"/>
      <c r="I73" s="24"/>
      <c r="J73" s="24"/>
    </row>
    <row r="74" spans="4:12" s="25" customFormat="1" ht="15.75">
      <c r="D74" s="112" t="s">
        <v>129</v>
      </c>
      <c r="E74" s="112"/>
      <c r="F74" s="113" t="s">
        <v>159</v>
      </c>
      <c r="G74" s="115" t="s">
        <v>148</v>
      </c>
      <c r="H74" s="116"/>
      <c r="I74" s="68"/>
      <c r="J74" s="106" t="s">
        <v>141</v>
      </c>
      <c r="K74" s="107"/>
      <c r="L74" s="108"/>
    </row>
    <row r="75" spans="4:12" s="25" customFormat="1" ht="16.5" thickBot="1">
      <c r="D75" s="74" t="s">
        <v>142</v>
      </c>
      <c r="E75" s="75" t="s">
        <v>143</v>
      </c>
      <c r="F75" s="114"/>
      <c r="G75" s="69" t="s">
        <v>142</v>
      </c>
      <c r="H75" s="70" t="s">
        <v>143</v>
      </c>
      <c r="I75" s="68"/>
      <c r="J75" s="69" t="s">
        <v>142</v>
      </c>
      <c r="K75" s="109" t="s">
        <v>149</v>
      </c>
      <c r="L75" s="110"/>
    </row>
    <row r="76" spans="3:12" s="25" customFormat="1" ht="15.75" thickBot="1">
      <c r="C76" s="25" t="s">
        <v>27</v>
      </c>
      <c r="D76" s="85">
        <v>3750</v>
      </c>
      <c r="E76" s="87">
        <f>D76*D77</f>
        <v>149154.5833333333</v>
      </c>
      <c r="F76" s="81">
        <f>F36</f>
        <v>57632.024999999994</v>
      </c>
      <c r="G76" s="89">
        <v>3750</v>
      </c>
      <c r="H76" s="87">
        <f>G76*G77</f>
        <v>99154.58333333333</v>
      </c>
      <c r="I76" s="56"/>
      <c r="J76" s="85">
        <v>7500</v>
      </c>
      <c r="K76" s="94">
        <f>J76*J77</f>
        <v>112500</v>
      </c>
      <c r="L76" s="66"/>
    </row>
    <row r="77" spans="3:12" s="25" customFormat="1" ht="15.75" thickBot="1">
      <c r="C77" s="71" t="s">
        <v>114</v>
      </c>
      <c r="D77" s="82">
        <f>E54</f>
        <v>39.77455555555555</v>
      </c>
      <c r="E77" s="88"/>
      <c r="F77" s="101">
        <f>F40</f>
        <v>192.10674999999998</v>
      </c>
      <c r="G77" s="76">
        <f>B54</f>
        <v>26.441222222222223</v>
      </c>
      <c r="H77" s="91"/>
      <c r="I77" s="99"/>
      <c r="J77" s="91">
        <v>15</v>
      </c>
      <c r="K77" s="72"/>
      <c r="L77" s="73"/>
    </row>
    <row r="78" spans="2:12" s="25" customFormat="1" ht="15.75" thickBot="1">
      <c r="B78" s="24"/>
      <c r="C78" s="25" t="s">
        <v>130</v>
      </c>
      <c r="D78" s="86">
        <v>45</v>
      </c>
      <c r="E78" s="84">
        <f>D76*D78</f>
        <v>168750</v>
      </c>
      <c r="F78" s="93">
        <v>150000</v>
      </c>
      <c r="G78" s="100">
        <v>40</v>
      </c>
      <c r="H78" s="92">
        <f>G76*G78</f>
        <v>150000</v>
      </c>
      <c r="I78" s="55"/>
      <c r="J78" s="98">
        <v>20</v>
      </c>
      <c r="K78" s="95">
        <f>J76*J78</f>
        <v>150000</v>
      </c>
      <c r="L78" s="96"/>
    </row>
    <row r="79" spans="3:12" s="25" customFormat="1" ht="15">
      <c r="C79" s="25" t="s">
        <v>140</v>
      </c>
      <c r="D79" s="78"/>
      <c r="E79" s="77"/>
      <c r="F79" s="83"/>
      <c r="G79" s="78"/>
      <c r="H79" s="98"/>
      <c r="I79" s="34"/>
      <c r="J79" s="98"/>
      <c r="K79" s="95"/>
      <c r="L79" s="96"/>
    </row>
    <row r="80" spans="3:12" s="25" customFormat="1" ht="15.75" thickBot="1">
      <c r="C80" s="25" t="s">
        <v>144</v>
      </c>
      <c r="D80" s="79"/>
      <c r="E80" s="80">
        <f>+E78-E76</f>
        <v>19595.416666666686</v>
      </c>
      <c r="F80" s="84">
        <f>F78-F76</f>
        <v>92367.975</v>
      </c>
      <c r="G80" s="90"/>
      <c r="H80" s="92">
        <f>H78-H76</f>
        <v>50845.41666666667</v>
      </c>
      <c r="I80" s="34"/>
      <c r="J80" s="92"/>
      <c r="K80" s="97">
        <f>K78-K76</f>
        <v>37500</v>
      </c>
      <c r="L80" s="67"/>
    </row>
    <row r="81" spans="4:10" s="25" customFormat="1" ht="15.75">
      <c r="D81" s="33"/>
      <c r="E81" s="33"/>
      <c r="F81" s="43"/>
      <c r="G81" s="43"/>
      <c r="H81" s="24"/>
      <c r="I81" s="24"/>
      <c r="J81" s="24"/>
    </row>
    <row r="82" spans="8:10" s="25" customFormat="1" ht="15">
      <c r="H82" s="24"/>
      <c r="I82" s="24"/>
      <c r="J82" s="24"/>
    </row>
    <row r="83" spans="8:10" s="25" customFormat="1" ht="15">
      <c r="H83" s="24"/>
      <c r="I83" s="24"/>
      <c r="J83" s="24"/>
    </row>
    <row r="84" spans="3:10" s="25" customFormat="1" ht="15">
      <c r="C84" s="25" t="s">
        <v>150</v>
      </c>
      <c r="H84" s="24"/>
      <c r="I84" s="24"/>
      <c r="J84" s="24"/>
    </row>
    <row r="85" spans="3:10" s="25" customFormat="1" ht="15">
      <c r="C85" s="25" t="s">
        <v>151</v>
      </c>
      <c r="H85" s="24"/>
      <c r="I85" s="24"/>
      <c r="J85" s="24"/>
    </row>
    <row r="86" spans="8:10" s="25" customFormat="1" ht="15">
      <c r="H86" s="24"/>
      <c r="I86" s="24"/>
      <c r="J86" s="24"/>
    </row>
    <row r="87" spans="8:10" s="25" customFormat="1" ht="15">
      <c r="H87" s="24"/>
      <c r="I87" s="24"/>
      <c r="J87" s="24"/>
    </row>
    <row r="88" spans="8:10" s="25" customFormat="1" ht="15">
      <c r="H88" s="24"/>
      <c r="I88" s="24"/>
      <c r="J88" s="24"/>
    </row>
    <row r="89" spans="8:10" s="25" customFormat="1" ht="15">
      <c r="H89" s="24"/>
      <c r="I89" s="24"/>
      <c r="J89" s="24"/>
    </row>
    <row r="90" spans="8:10" s="25" customFormat="1" ht="15">
      <c r="H90" s="24"/>
      <c r="I90" s="24"/>
      <c r="J90" s="24"/>
    </row>
    <row r="91" spans="8:10" s="25" customFormat="1" ht="15">
      <c r="H91" s="24"/>
      <c r="I91" s="24"/>
      <c r="J91" s="24"/>
    </row>
    <row r="92" spans="8:10" s="25" customFormat="1" ht="15">
      <c r="H92" s="24"/>
      <c r="I92" s="24"/>
      <c r="J92" s="24"/>
    </row>
    <row r="93" spans="8:10" s="25" customFormat="1" ht="15">
      <c r="H93" s="24"/>
      <c r="I93" s="24"/>
      <c r="J93" s="24"/>
    </row>
    <row r="94" spans="8:10" s="25" customFormat="1" ht="15">
      <c r="H94" s="24"/>
      <c r="I94" s="24"/>
      <c r="J94" s="24"/>
    </row>
    <row r="95" spans="8:10" s="25" customFormat="1" ht="15">
      <c r="H95" s="24"/>
      <c r="I95" s="24"/>
      <c r="J95" s="24"/>
    </row>
  </sheetData>
  <sheetProtection/>
  <mergeCells count="9">
    <mergeCell ref="J74:L74"/>
    <mergeCell ref="K75:L75"/>
    <mergeCell ref="B1:H1"/>
    <mergeCell ref="B4:H4"/>
    <mergeCell ref="B2:H2"/>
    <mergeCell ref="B3:H3"/>
    <mergeCell ref="D74:E74"/>
    <mergeCell ref="F74:F75"/>
    <mergeCell ref="G74:H74"/>
  </mergeCells>
  <printOptions/>
  <pageMargins left="0.75" right="0.75" top="0.57" bottom="0.61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22"/>
  <sheetViews>
    <sheetView zoomScalePageLayoutView="0" workbookViewId="0" topLeftCell="A94">
      <selection activeCell="D99" sqref="D99"/>
    </sheetView>
  </sheetViews>
  <sheetFormatPr defaultColWidth="11.421875" defaultRowHeight="12.75"/>
  <cols>
    <col min="1" max="1" width="7.57421875" style="0" customWidth="1"/>
    <col min="2" max="2" width="6.140625" style="0" bestFit="1" customWidth="1"/>
    <col min="3" max="3" width="34.00390625" style="0" bestFit="1" customWidth="1"/>
    <col min="4" max="5" width="15.7109375" style="1" customWidth="1"/>
  </cols>
  <sheetData>
    <row r="3" spans="2:5" ht="12.75">
      <c r="B3" s="7" t="s">
        <v>45</v>
      </c>
      <c r="C3" s="16">
        <v>37622</v>
      </c>
      <c r="D3" s="8"/>
      <c r="E3" s="8"/>
    </row>
    <row r="4" spans="2:5" ht="12.75">
      <c r="B4" s="7"/>
      <c r="C4" s="7" t="s">
        <v>74</v>
      </c>
      <c r="D4" s="8">
        <v>500000</v>
      </c>
      <c r="E4" s="8"/>
    </row>
    <row r="5" spans="2:5" ht="12.75">
      <c r="B5" s="7"/>
      <c r="C5" s="7" t="s">
        <v>35</v>
      </c>
      <c r="D5" s="8">
        <v>90000</v>
      </c>
      <c r="E5" s="8"/>
    </row>
    <row r="6" spans="2:5" ht="12.75">
      <c r="B6" s="7"/>
      <c r="C6" s="7" t="s">
        <v>36</v>
      </c>
      <c r="D6" s="8">
        <v>31660</v>
      </c>
      <c r="E6" s="8"/>
    </row>
    <row r="7" spans="2:5" ht="12.75">
      <c r="B7" s="7"/>
      <c r="C7" s="7" t="s">
        <v>37</v>
      </c>
      <c r="D7" s="8">
        <v>230000</v>
      </c>
      <c r="E7" s="8"/>
    </row>
    <row r="8" spans="2:5" ht="12.75">
      <c r="B8" s="7"/>
      <c r="C8" s="7" t="s">
        <v>38</v>
      </c>
      <c r="D8" s="8">
        <v>250000</v>
      </c>
      <c r="E8" s="8"/>
    </row>
    <row r="9" spans="2:5" ht="12.75">
      <c r="B9" s="7"/>
      <c r="C9" s="7" t="s">
        <v>39</v>
      </c>
      <c r="D9" s="8">
        <v>40000</v>
      </c>
      <c r="E9" s="8"/>
    </row>
    <row r="10" spans="2:5" ht="12.75">
      <c r="B10" s="7"/>
      <c r="C10" s="7" t="s">
        <v>55</v>
      </c>
      <c r="D10" s="8">
        <v>1000</v>
      </c>
      <c r="E10" s="8"/>
    </row>
    <row r="11" spans="2:5" ht="12.75">
      <c r="B11" s="7"/>
      <c r="C11" s="7" t="s">
        <v>40</v>
      </c>
      <c r="D11" s="8">
        <v>20000</v>
      </c>
      <c r="E11" s="8"/>
    </row>
    <row r="12" spans="2:5" ht="12.75">
      <c r="B12" s="7"/>
      <c r="C12" s="7" t="s">
        <v>41</v>
      </c>
      <c r="D12" s="8">
        <v>10000</v>
      </c>
      <c r="E12" s="8"/>
    </row>
    <row r="13" spans="2:5" ht="12.75">
      <c r="B13" s="7"/>
      <c r="C13" s="7" t="s">
        <v>42</v>
      </c>
      <c r="D13" s="8"/>
      <c r="E13" s="8">
        <v>18000</v>
      </c>
    </row>
    <row r="14" spans="2:5" ht="13.5" thickBot="1">
      <c r="B14" s="7"/>
      <c r="C14" s="7" t="s">
        <v>43</v>
      </c>
      <c r="D14" s="14"/>
      <c r="E14" s="14">
        <f>D15-E13</f>
        <v>1154660</v>
      </c>
    </row>
    <row r="15" spans="2:5" ht="13.5" thickBot="1">
      <c r="B15" s="7"/>
      <c r="C15" s="7" t="s">
        <v>44</v>
      </c>
      <c r="D15" s="17">
        <f>SUM(D4:D14)</f>
        <v>1172660</v>
      </c>
      <c r="E15" s="17">
        <f>SUM(E13:E14)</f>
        <v>1172660</v>
      </c>
    </row>
    <row r="16" spans="2:5" ht="13.5" thickTop="1">
      <c r="B16" s="7" t="s">
        <v>46</v>
      </c>
      <c r="C16" s="7" t="s">
        <v>48</v>
      </c>
      <c r="D16" s="12"/>
      <c r="E16" s="12"/>
    </row>
    <row r="17" spans="2:5" ht="12.75">
      <c r="B17" s="7"/>
      <c r="C17" s="7" t="s">
        <v>47</v>
      </c>
      <c r="D17" s="8">
        <v>31660</v>
      </c>
      <c r="E17" s="8"/>
    </row>
    <row r="18" spans="2:5" ht="12.75">
      <c r="B18" s="7"/>
      <c r="C18" s="7" t="s">
        <v>36</v>
      </c>
      <c r="D18" s="8"/>
      <c r="E18" s="8">
        <v>31660</v>
      </c>
    </row>
    <row r="19" spans="2:5" ht="13.5" thickBot="1">
      <c r="B19" s="7"/>
      <c r="C19" s="7" t="s">
        <v>58</v>
      </c>
      <c r="D19" s="8"/>
      <c r="E19" s="8"/>
    </row>
    <row r="20" spans="2:5" ht="13.5" thickBot="1">
      <c r="B20" s="7"/>
      <c r="C20" s="7" t="s">
        <v>59</v>
      </c>
      <c r="D20" s="17">
        <f>SUM(D17:D19)</f>
        <v>31660</v>
      </c>
      <c r="E20" s="17">
        <f>SUM(E18:E19)</f>
        <v>31660</v>
      </c>
    </row>
    <row r="21" spans="2:5" ht="13.5" thickTop="1">
      <c r="B21" s="7" t="s">
        <v>49</v>
      </c>
      <c r="C21" s="7" t="s">
        <v>48</v>
      </c>
      <c r="D21" s="12"/>
      <c r="E21" s="8"/>
    </row>
    <row r="22" spans="2:5" ht="12.75">
      <c r="B22" s="7"/>
      <c r="C22" s="18" t="s">
        <v>50</v>
      </c>
      <c r="D22" s="8"/>
      <c r="E22" s="8"/>
    </row>
    <row r="23" spans="2:5" ht="12.75">
      <c r="B23" s="7"/>
      <c r="C23" s="18" t="s">
        <v>1</v>
      </c>
      <c r="D23" s="8"/>
      <c r="E23" s="8"/>
    </row>
    <row r="24" spans="2:5" ht="12.75">
      <c r="B24" s="7"/>
      <c r="C24" s="7" t="s">
        <v>3</v>
      </c>
      <c r="D24" s="8">
        <v>150000</v>
      </c>
      <c r="E24" s="8"/>
    </row>
    <row r="25" spans="2:5" ht="12.75">
      <c r="B25" s="7"/>
      <c r="C25" s="7" t="s">
        <v>70</v>
      </c>
      <c r="D25" s="8">
        <v>3500</v>
      </c>
      <c r="E25" s="8"/>
    </row>
    <row r="26" spans="2:5" ht="12.75">
      <c r="B26" s="7"/>
      <c r="C26" s="7" t="s">
        <v>5</v>
      </c>
      <c r="D26" s="8">
        <v>10000</v>
      </c>
      <c r="E26" s="8"/>
    </row>
    <row r="27" spans="2:5" ht="12.75">
      <c r="B27" s="7"/>
      <c r="C27" s="18" t="s">
        <v>9</v>
      </c>
      <c r="D27" s="8"/>
      <c r="E27" s="8"/>
    </row>
    <row r="28" spans="2:5" ht="12.75">
      <c r="B28" s="7"/>
      <c r="C28" s="7" t="s">
        <v>51</v>
      </c>
      <c r="D28" s="8">
        <v>113000</v>
      </c>
      <c r="E28" s="8"/>
    </row>
    <row r="29" spans="2:5" ht="12.75">
      <c r="B29" s="7"/>
      <c r="C29" s="7" t="s">
        <v>11</v>
      </c>
      <c r="D29" s="8">
        <f>'HOJA DE TRABAJO'!D21</f>
        <v>52000</v>
      </c>
      <c r="E29" s="8"/>
    </row>
    <row r="30" spans="2:5" ht="12.75">
      <c r="B30" s="7"/>
      <c r="C30" s="7" t="s">
        <v>52</v>
      </c>
      <c r="D30" s="8">
        <f>'HOJA DE TRABAJO'!D22</f>
        <v>23750</v>
      </c>
      <c r="E30" s="8"/>
    </row>
    <row r="31" spans="2:5" ht="12.75">
      <c r="B31" s="7"/>
      <c r="C31" s="18" t="s">
        <v>13</v>
      </c>
      <c r="D31" s="8"/>
      <c r="E31" s="8"/>
    </row>
    <row r="32" spans="2:5" ht="12.75">
      <c r="B32" s="7"/>
      <c r="C32" s="7" t="s">
        <v>14</v>
      </c>
      <c r="D32" s="8">
        <f>'HOJA DE TRABAJO'!D25</f>
        <v>2000</v>
      </c>
      <c r="E32" s="8"/>
    </row>
    <row r="33" spans="2:5" ht="12.75">
      <c r="B33" s="7"/>
      <c r="C33" s="7" t="s">
        <v>53</v>
      </c>
      <c r="D33" s="8">
        <v>5000</v>
      </c>
      <c r="E33" s="8"/>
    </row>
    <row r="34" spans="2:5" ht="12.75">
      <c r="B34" s="7"/>
      <c r="C34" s="7" t="s">
        <v>16</v>
      </c>
      <c r="D34" s="8">
        <v>1500</v>
      </c>
      <c r="E34" s="8"/>
    </row>
    <row r="35" spans="2:5" ht="12.75">
      <c r="B35" s="7"/>
      <c r="C35" s="7" t="s">
        <v>56</v>
      </c>
      <c r="D35" s="8">
        <v>375</v>
      </c>
      <c r="E35" s="8"/>
    </row>
    <row r="36" spans="2:5" ht="12.75">
      <c r="B36" s="7"/>
      <c r="C36" s="7" t="s">
        <v>18</v>
      </c>
      <c r="D36" s="8">
        <v>3833.33</v>
      </c>
      <c r="E36" s="8"/>
    </row>
    <row r="37" spans="2:5" ht="12.75">
      <c r="B37" s="7"/>
      <c r="C37" s="7" t="s">
        <v>74</v>
      </c>
      <c r="D37" s="8"/>
      <c r="E37" s="8">
        <f>D44-E38-E39-E40-E41-E42</f>
        <v>205750.00000000003</v>
      </c>
    </row>
    <row r="38" spans="2:5" ht="12.75">
      <c r="B38" s="7"/>
      <c r="C38" s="7" t="s">
        <v>38</v>
      </c>
      <c r="D38" s="8"/>
      <c r="E38" s="8">
        <v>150000</v>
      </c>
    </row>
    <row r="39" spans="2:5" ht="12.75">
      <c r="B39" s="7"/>
      <c r="C39" s="7" t="s">
        <v>54</v>
      </c>
      <c r="D39" s="8"/>
      <c r="E39" s="8">
        <v>3500</v>
      </c>
    </row>
    <row r="40" spans="2:5" ht="12.75">
      <c r="B40" s="7"/>
      <c r="C40" s="7" t="s">
        <v>76</v>
      </c>
      <c r="D40" s="8"/>
      <c r="E40" s="8">
        <v>375</v>
      </c>
    </row>
    <row r="41" spans="2:5" ht="12.75">
      <c r="B41" s="7"/>
      <c r="C41" s="7" t="s">
        <v>77</v>
      </c>
      <c r="D41" s="8"/>
      <c r="E41" s="8">
        <v>3833.33</v>
      </c>
    </row>
    <row r="42" spans="2:5" ht="12.75">
      <c r="B42" s="7"/>
      <c r="C42" s="7" t="s">
        <v>41</v>
      </c>
      <c r="D42" s="8"/>
      <c r="E42" s="8">
        <v>1500</v>
      </c>
    </row>
    <row r="43" spans="2:5" ht="13.5" thickBot="1">
      <c r="B43" s="7"/>
      <c r="C43" s="7" t="s">
        <v>60</v>
      </c>
      <c r="D43" s="8"/>
      <c r="E43" s="8"/>
    </row>
    <row r="44" spans="2:5" ht="13.5" thickBot="1">
      <c r="B44" s="7"/>
      <c r="C44" s="7" t="s">
        <v>61</v>
      </c>
      <c r="D44" s="17">
        <f>SUM(D24:D43)</f>
        <v>364958.33</v>
      </c>
      <c r="E44" s="17">
        <f>SUM(E37:E43)</f>
        <v>364958.33</v>
      </c>
    </row>
    <row r="45" spans="2:5" ht="13.5" thickTop="1">
      <c r="B45" s="7" t="s">
        <v>57</v>
      </c>
      <c r="C45" s="7" t="s">
        <v>48</v>
      </c>
      <c r="D45" s="8"/>
      <c r="E45" s="8"/>
    </row>
    <row r="46" spans="2:5" ht="12.75">
      <c r="B46" s="7"/>
      <c r="C46" s="7" t="s">
        <v>62</v>
      </c>
      <c r="D46" s="8">
        <f>'HOJA DE TRABAJO'!E10</f>
        <v>198309.16666666666</v>
      </c>
      <c r="E46" s="8"/>
    </row>
    <row r="47" spans="2:5" ht="12.75">
      <c r="B47" s="7"/>
      <c r="C47" s="7" t="s">
        <v>63</v>
      </c>
      <c r="D47" s="8">
        <f>'HOJA DE TRABAJO'!G17</f>
        <v>99154.58333333333</v>
      </c>
      <c r="E47" s="8"/>
    </row>
    <row r="48" spans="2:5" ht="12.75">
      <c r="B48" s="7"/>
      <c r="C48" s="7" t="s">
        <v>64</v>
      </c>
      <c r="D48" s="8">
        <f>'HOJA DE TRABAJO'!H76</f>
        <v>99154.58333333333</v>
      </c>
      <c r="E48" s="8"/>
    </row>
    <row r="49" spans="2:5" ht="12.75">
      <c r="B49" s="7"/>
      <c r="C49" s="7" t="s">
        <v>47</v>
      </c>
      <c r="D49" s="8"/>
      <c r="E49" s="8">
        <f>395178.33-85089</f>
        <v>310089.33</v>
      </c>
    </row>
    <row r="50" spans="2:5" ht="12.75">
      <c r="B50" s="7"/>
      <c r="C50" s="7" t="s">
        <v>74</v>
      </c>
      <c r="D50" s="8"/>
      <c r="E50" s="8">
        <f>D53-E49</f>
        <v>86529.0033333333</v>
      </c>
    </row>
    <row r="51" spans="2:5" ht="12.75">
      <c r="B51" s="7"/>
      <c r="C51" s="7" t="s">
        <v>58</v>
      </c>
      <c r="D51" s="8"/>
      <c r="E51" s="8"/>
    </row>
    <row r="52" spans="2:5" ht="13.5" thickBot="1">
      <c r="B52" s="7"/>
      <c r="C52" s="7" t="s">
        <v>65</v>
      </c>
      <c r="D52" s="8"/>
      <c r="E52" s="8"/>
    </row>
    <row r="53" spans="2:6" ht="13.5" thickBot="1">
      <c r="B53" s="7"/>
      <c r="C53" s="7" t="s">
        <v>66</v>
      </c>
      <c r="D53" s="17">
        <f>SUM(D46:D52)</f>
        <v>396618.3333333333</v>
      </c>
      <c r="E53" s="17">
        <f>SUM(E49:E52)</f>
        <v>396618.3333333333</v>
      </c>
      <c r="F53" s="19"/>
    </row>
    <row r="54" spans="2:5" ht="13.5" thickTop="1">
      <c r="B54" s="7" t="s">
        <v>67</v>
      </c>
      <c r="C54" s="7" t="s">
        <v>48</v>
      </c>
      <c r="D54" s="8"/>
      <c r="E54" s="8"/>
    </row>
    <row r="55" spans="2:5" ht="12.75">
      <c r="B55" s="7"/>
      <c r="C55" s="18" t="s">
        <v>68</v>
      </c>
      <c r="D55" s="8"/>
      <c r="E55" s="8"/>
    </row>
    <row r="56" spans="2:5" ht="12.75">
      <c r="B56" s="7"/>
      <c r="C56" s="18" t="s">
        <v>1</v>
      </c>
      <c r="D56" s="8"/>
      <c r="E56" s="8"/>
    </row>
    <row r="57" spans="2:5" ht="12.75">
      <c r="B57" s="7"/>
      <c r="C57" s="7" t="s">
        <v>69</v>
      </c>
      <c r="D57" s="8">
        <v>414000</v>
      </c>
      <c r="E57" s="8"/>
    </row>
    <row r="58" spans="2:5" ht="12.75">
      <c r="B58" s="7"/>
      <c r="C58" s="7" t="s">
        <v>70</v>
      </c>
      <c r="D58" s="8">
        <v>5500</v>
      </c>
      <c r="E58" s="8"/>
    </row>
    <row r="59" spans="2:5" ht="12.75">
      <c r="B59" s="7"/>
      <c r="C59" s="7" t="s">
        <v>1</v>
      </c>
      <c r="D59" s="8">
        <v>6000</v>
      </c>
      <c r="E59" s="8"/>
    </row>
    <row r="60" spans="2:5" ht="12.75">
      <c r="B60" s="7"/>
      <c r="C60" s="18" t="s">
        <v>9</v>
      </c>
      <c r="D60" s="8"/>
      <c r="E60" s="8"/>
    </row>
    <row r="61" spans="2:5" ht="12.75">
      <c r="B61" s="7"/>
      <c r="C61" s="7" t="s">
        <v>51</v>
      </c>
      <c r="D61" s="8">
        <f>'HOJA DE TRABAJO'!E20</f>
        <v>120000</v>
      </c>
      <c r="E61" s="8"/>
    </row>
    <row r="62" spans="2:5" ht="12.75">
      <c r="B62" s="7"/>
      <c r="C62" s="7" t="s">
        <v>11</v>
      </c>
      <c r="D62" s="8">
        <v>30500</v>
      </c>
      <c r="E62" s="8"/>
    </row>
    <row r="63" spans="2:5" ht="12.75">
      <c r="B63" s="7"/>
      <c r="C63" s="7" t="s">
        <v>52</v>
      </c>
      <c r="D63" s="8">
        <v>14800</v>
      </c>
      <c r="E63" s="8"/>
    </row>
    <row r="64" spans="2:5" ht="12.75">
      <c r="B64" s="7"/>
      <c r="C64" s="18" t="s">
        <v>13</v>
      </c>
      <c r="D64" s="8"/>
      <c r="E64" s="8"/>
    </row>
    <row r="65" spans="2:5" ht="12.75">
      <c r="B65" s="7"/>
      <c r="C65" s="7" t="s">
        <v>14</v>
      </c>
      <c r="D65" s="8">
        <v>11000</v>
      </c>
      <c r="E65" s="8"/>
    </row>
    <row r="66" spans="2:5" ht="12.75">
      <c r="B66" s="7"/>
      <c r="C66" s="7" t="s">
        <v>53</v>
      </c>
      <c r="D66" s="8">
        <v>4000</v>
      </c>
      <c r="E66" s="8"/>
    </row>
    <row r="67" spans="2:5" ht="12.75">
      <c r="B67" s="7"/>
      <c r="C67" s="7" t="s">
        <v>71</v>
      </c>
      <c r="D67" s="8">
        <f>'HOJA DE TRABAJO'!E30</f>
        <v>15500</v>
      </c>
      <c r="E67" s="8"/>
    </row>
    <row r="68" spans="2:5" ht="12.75">
      <c r="B68" s="7"/>
      <c r="C68" s="7" t="s">
        <v>56</v>
      </c>
      <c r="D68" s="8">
        <v>4125</v>
      </c>
      <c r="E68" s="8"/>
    </row>
    <row r="69" spans="2:5" ht="12.75">
      <c r="B69" s="7"/>
      <c r="C69" s="7" t="s">
        <v>18</v>
      </c>
      <c r="D69" s="8">
        <v>42166.67</v>
      </c>
      <c r="E69" s="8"/>
    </row>
    <row r="70" spans="2:5" ht="12.75">
      <c r="B70" s="7"/>
      <c r="C70" s="7" t="s">
        <v>72</v>
      </c>
      <c r="D70" s="8">
        <v>16500</v>
      </c>
      <c r="E70" s="8"/>
    </row>
    <row r="71" spans="2:5" ht="12.75">
      <c r="B71" s="7"/>
      <c r="C71" s="7" t="s">
        <v>73</v>
      </c>
      <c r="D71" s="8">
        <f>'HOJA DE TRABAJO'!E31</f>
        <v>85809.16666666666</v>
      </c>
      <c r="E71" s="8"/>
    </row>
    <row r="72" spans="2:5" ht="12.75">
      <c r="B72" s="7"/>
      <c r="C72" s="7" t="s">
        <v>74</v>
      </c>
      <c r="D72" s="8"/>
      <c r="E72" s="8">
        <f>D80-E73-E74-E75-E76-E77-E78</f>
        <v>90019.99666666666</v>
      </c>
    </row>
    <row r="73" spans="2:5" ht="12.75">
      <c r="B73" s="7"/>
      <c r="C73" s="7" t="s">
        <v>38</v>
      </c>
      <c r="D73" s="8"/>
      <c r="E73" s="8">
        <v>414000</v>
      </c>
    </row>
    <row r="74" spans="2:5" ht="12.75">
      <c r="B74" s="7"/>
      <c r="C74" s="7" t="s">
        <v>39</v>
      </c>
      <c r="D74" s="8"/>
      <c r="E74" s="8">
        <v>5500</v>
      </c>
    </row>
    <row r="75" spans="2:5" ht="12.75">
      <c r="B75" s="7"/>
      <c r="C75" s="7" t="s">
        <v>75</v>
      </c>
      <c r="D75" s="8"/>
      <c r="E75" s="8">
        <v>197589.17</v>
      </c>
    </row>
    <row r="76" spans="2:5" ht="12.75">
      <c r="B76" s="7"/>
      <c r="C76" s="7" t="s">
        <v>76</v>
      </c>
      <c r="D76" s="8"/>
      <c r="E76" s="8">
        <v>4125</v>
      </c>
    </row>
    <row r="77" spans="2:5" ht="12.75">
      <c r="B77" s="7"/>
      <c r="C77" s="7" t="s">
        <v>77</v>
      </c>
      <c r="D77" s="8"/>
      <c r="E77" s="8">
        <v>42166.67</v>
      </c>
    </row>
    <row r="78" spans="2:5" ht="12.75">
      <c r="B78" s="7"/>
      <c r="C78" s="7" t="s">
        <v>41</v>
      </c>
      <c r="D78" s="8"/>
      <c r="E78" s="8">
        <v>16500</v>
      </c>
    </row>
    <row r="79" spans="2:5" ht="13.5" thickBot="1">
      <c r="B79" s="7"/>
      <c r="C79" s="7" t="s">
        <v>60</v>
      </c>
      <c r="D79" s="8"/>
      <c r="E79" s="8"/>
    </row>
    <row r="80" spans="2:5" ht="13.5" thickBot="1">
      <c r="B80" s="7"/>
      <c r="C80" s="7" t="s">
        <v>78</v>
      </c>
      <c r="D80" s="17">
        <f>SUM(D57:D79)</f>
        <v>769900.8366666667</v>
      </c>
      <c r="E80" s="17">
        <f>SUM(E72:E79)</f>
        <v>769900.8366666667</v>
      </c>
    </row>
    <row r="81" spans="2:5" ht="13.5" thickTop="1">
      <c r="B81" s="7" t="s">
        <v>79</v>
      </c>
      <c r="C81" s="7" t="s">
        <v>48</v>
      </c>
      <c r="D81" s="8"/>
      <c r="E81" s="8"/>
    </row>
    <row r="82" spans="2:5" ht="12.75">
      <c r="B82" s="7"/>
      <c r="C82" s="7"/>
      <c r="D82" s="8"/>
      <c r="E82" s="8"/>
    </row>
    <row r="83" spans="2:5" ht="12.75">
      <c r="B83" s="7"/>
      <c r="C83" s="7" t="s">
        <v>80</v>
      </c>
      <c r="D83" s="8">
        <f>'HOJA DE TRABAJO'!F36</f>
        <v>57632.024999999994</v>
      </c>
      <c r="E83" s="8"/>
    </row>
    <row r="84" spans="2:5" ht="12.75">
      <c r="B84" s="7"/>
      <c r="C84" s="7" t="s">
        <v>13</v>
      </c>
      <c r="D84" s="8"/>
      <c r="E84" s="8"/>
    </row>
    <row r="85" spans="2:5" ht="12.75">
      <c r="B85" s="7"/>
      <c r="C85" s="7" t="s">
        <v>81</v>
      </c>
      <c r="D85" s="8"/>
      <c r="E85" s="8">
        <f>'HOJA DE TRABAJO'!F16</f>
        <v>22632.024999999994</v>
      </c>
    </row>
    <row r="86" spans="2:5" ht="12.75">
      <c r="B86" s="7"/>
      <c r="C86" s="7" t="s">
        <v>74</v>
      </c>
      <c r="D86" s="8"/>
      <c r="E86" s="8">
        <f>'HOJA DE TRABAJO'!F32</f>
        <v>35000</v>
      </c>
    </row>
    <row r="87" spans="2:5" ht="13.5" thickBot="1">
      <c r="B87" s="7"/>
      <c r="C87" s="7" t="s">
        <v>82</v>
      </c>
      <c r="D87" s="8"/>
      <c r="E87" s="8"/>
    </row>
    <row r="88" spans="2:5" ht="13.5" thickBot="1">
      <c r="B88" s="7"/>
      <c r="C88" s="7" t="s">
        <v>83</v>
      </c>
      <c r="D88" s="17">
        <f>'HOJA DE TRABAJO'!F34</f>
        <v>57632.024999999994</v>
      </c>
      <c r="E88" s="17">
        <f>SUM(E84:E87)</f>
        <v>57632.024999999994</v>
      </c>
    </row>
    <row r="89" spans="2:5" ht="13.5" thickTop="1">
      <c r="B89" s="7" t="s">
        <v>84</v>
      </c>
      <c r="C89" s="7" t="s">
        <v>48</v>
      </c>
      <c r="D89" s="8"/>
      <c r="E89" s="8"/>
    </row>
    <row r="90" spans="2:5" ht="12.75">
      <c r="B90" s="7"/>
      <c r="C90" s="7" t="s">
        <v>146</v>
      </c>
      <c r="D90" s="8">
        <f>D80-E85</f>
        <v>747268.8116666666</v>
      </c>
      <c r="E90" s="8"/>
    </row>
    <row r="91" spans="2:5" ht="12.75">
      <c r="B91" s="7"/>
      <c r="C91" s="7" t="s">
        <v>85</v>
      </c>
      <c r="D91" s="8"/>
      <c r="E91" s="8">
        <f>D90</f>
        <v>747268.8116666666</v>
      </c>
    </row>
    <row r="92" spans="2:5" ht="13.5" thickBot="1">
      <c r="B92" s="7"/>
      <c r="C92" s="7" t="s">
        <v>86</v>
      </c>
      <c r="D92" s="8"/>
      <c r="E92" s="8"/>
    </row>
    <row r="93" spans="2:5" ht="13.5" thickBot="1">
      <c r="B93" s="7"/>
      <c r="C93" s="7" t="s">
        <v>87</v>
      </c>
      <c r="D93" s="17">
        <f>SUM(D90:D92)</f>
        <v>747268.8116666666</v>
      </c>
      <c r="E93" s="17">
        <f>SUM(E91:E92)</f>
        <v>747268.8116666666</v>
      </c>
    </row>
    <row r="94" spans="2:5" ht="13.5" thickTop="1">
      <c r="B94" s="7" t="s">
        <v>88</v>
      </c>
      <c r="C94" s="7" t="s">
        <v>48</v>
      </c>
      <c r="D94" s="8"/>
      <c r="E94" s="8"/>
    </row>
    <row r="95" spans="2:5" ht="12.75">
      <c r="B95" s="7"/>
      <c r="E95" s="8"/>
    </row>
    <row r="96" spans="2:5" ht="12.75">
      <c r="B96" s="7"/>
      <c r="C96" s="7" t="s">
        <v>89</v>
      </c>
      <c r="D96" s="8">
        <f>'HOJA DE TRABAJO'!G67</f>
        <v>672541.9274999999</v>
      </c>
      <c r="E96" s="8"/>
    </row>
    <row r="97" spans="2:5" ht="12.75">
      <c r="B97" s="7"/>
      <c r="C97" s="7" t="s">
        <v>152</v>
      </c>
      <c r="D97" s="8">
        <f>'HOJA DE TRABAJO'!H76</f>
        <v>99154.58333333333</v>
      </c>
      <c r="E97" s="8"/>
    </row>
    <row r="98" spans="2:5" ht="12.75">
      <c r="B98" s="7"/>
      <c r="C98" s="7" t="s">
        <v>63</v>
      </c>
      <c r="D98" s="8">
        <f>'HOJA DE TRABAJO'!E76</f>
        <v>149154.5833333333</v>
      </c>
      <c r="E98" s="8"/>
    </row>
    <row r="99" spans="2:5" ht="12.75">
      <c r="B99" s="7"/>
      <c r="C99" s="103" t="s">
        <v>160</v>
      </c>
      <c r="D99" s="8">
        <f>'HOJA DE TRABAJO'!F76</f>
        <v>57632.024999999994</v>
      </c>
      <c r="E99" s="8"/>
    </row>
    <row r="100" spans="2:5" ht="12.75">
      <c r="B100" s="7"/>
      <c r="C100" s="7" t="s">
        <v>153</v>
      </c>
      <c r="D100" s="8">
        <f>112500</f>
        <v>112500</v>
      </c>
      <c r="E100" s="8"/>
    </row>
    <row r="101" spans="2:5" ht="12.75">
      <c r="B101" s="7"/>
      <c r="C101" s="103" t="s">
        <v>162</v>
      </c>
      <c r="D101" s="8">
        <f>'HOJA DE TRABAJO'!H36</f>
        <v>15000</v>
      </c>
      <c r="E101" s="8"/>
    </row>
    <row r="102" spans="2:5" ht="12.75">
      <c r="B102" s="7"/>
      <c r="C102" s="7" t="s">
        <v>91</v>
      </c>
      <c r="D102" s="8"/>
      <c r="E102" s="8">
        <f>'HOJA DE TRABAJO'!H76</f>
        <v>99154.58333333333</v>
      </c>
    </row>
    <row r="103" spans="2:5" ht="12.75">
      <c r="B103" s="7"/>
      <c r="C103" s="7" t="s">
        <v>107</v>
      </c>
      <c r="D103" s="8"/>
      <c r="E103" s="8">
        <f>'HOJA DE TRABAJO'!E76</f>
        <v>149154.5833333333</v>
      </c>
    </row>
    <row r="104" spans="2:5" ht="12.75">
      <c r="B104" s="7"/>
      <c r="C104" s="7" t="s">
        <v>90</v>
      </c>
      <c r="D104" s="8"/>
      <c r="E104" s="8">
        <f>'HOJA DE TRABAJO'!G67</f>
        <v>672541.9274999999</v>
      </c>
    </row>
    <row r="105" spans="2:5" ht="12.75">
      <c r="B105" s="7"/>
      <c r="C105" s="103" t="s">
        <v>80</v>
      </c>
      <c r="D105" s="8"/>
      <c r="E105" s="8">
        <f>'HOJA DE TRABAJO'!F76</f>
        <v>57632.024999999994</v>
      </c>
    </row>
    <row r="106" spans="2:5" ht="12.75">
      <c r="B106" s="7"/>
      <c r="C106" s="7" t="s">
        <v>154</v>
      </c>
      <c r="D106" s="8"/>
      <c r="E106" s="8">
        <v>112500</v>
      </c>
    </row>
    <row r="107" spans="2:5" ht="13.5" thickBot="1">
      <c r="B107" s="7"/>
      <c r="C107" s="103" t="s">
        <v>161</v>
      </c>
      <c r="D107" s="8"/>
      <c r="E107" s="8">
        <f>'HOJA DE TRABAJO'!H36</f>
        <v>15000</v>
      </c>
    </row>
    <row r="108" spans="2:5" ht="13.5" thickBot="1">
      <c r="B108" s="7"/>
      <c r="C108" s="7"/>
      <c r="D108" s="17">
        <f>SUM(D96:D107)</f>
        <v>1105983.1191666666</v>
      </c>
      <c r="E108" s="17">
        <f>SUM(E101:E107)</f>
        <v>1105983.1191666666</v>
      </c>
    </row>
    <row r="109" spans="2:5" ht="13.5" thickTop="1">
      <c r="B109" s="7"/>
      <c r="C109" s="7"/>
      <c r="D109" s="8"/>
      <c r="E109" s="8"/>
    </row>
    <row r="110" spans="2:5" ht="12.75">
      <c r="B110" s="7" t="s">
        <v>93</v>
      </c>
      <c r="C110" s="7" t="s">
        <v>48</v>
      </c>
      <c r="D110" s="8"/>
      <c r="E110" s="8"/>
    </row>
    <row r="111" spans="2:5" ht="12.75">
      <c r="B111" s="7"/>
      <c r="C111" s="7" t="s">
        <v>74</v>
      </c>
      <c r="D111" s="8">
        <f>SUM(E113:E117)+E118</f>
        <v>3267750</v>
      </c>
      <c r="E111" s="8"/>
    </row>
    <row r="112" spans="2:5" ht="12.75">
      <c r="B112" s="7"/>
      <c r="C112" s="7" t="s">
        <v>92</v>
      </c>
      <c r="D112" s="8"/>
      <c r="E112" s="8"/>
    </row>
    <row r="113" spans="2:5" ht="12.75">
      <c r="B113" s="7"/>
      <c r="C113" s="7" t="s">
        <v>155</v>
      </c>
      <c r="D113" s="8"/>
      <c r="E113" s="8">
        <f>'HOJA DE TRABAJO'!G71</f>
        <v>2619000</v>
      </c>
    </row>
    <row r="114" spans="2:5" ht="12.75">
      <c r="B114" s="7"/>
      <c r="C114" s="103" t="s">
        <v>163</v>
      </c>
      <c r="D114" s="8"/>
      <c r="E114" s="8">
        <f>'HOJA DE TRABAJO'!F78</f>
        <v>150000</v>
      </c>
    </row>
    <row r="115" spans="2:5" ht="12.75">
      <c r="B115" s="7"/>
      <c r="C115" s="7" t="s">
        <v>156</v>
      </c>
      <c r="D115" s="8"/>
      <c r="E115" s="8">
        <f>'HOJA DE TRABAJO'!H78</f>
        <v>150000</v>
      </c>
    </row>
    <row r="116" spans="2:5" ht="12.75">
      <c r="B116" s="7"/>
      <c r="C116" s="7" t="s">
        <v>63</v>
      </c>
      <c r="D116" s="8"/>
      <c r="E116" s="8">
        <f>'HOJA DE TRABAJO'!E78</f>
        <v>168750</v>
      </c>
    </row>
    <row r="117" spans="2:5" ht="12.75">
      <c r="B117" s="7"/>
      <c r="C117" s="7" t="s">
        <v>157</v>
      </c>
      <c r="D117" s="8"/>
      <c r="E117" s="8">
        <f>'HOJA DE TRABAJO'!K78</f>
        <v>150000</v>
      </c>
    </row>
    <row r="118" spans="2:5" ht="12.75">
      <c r="B118" s="7"/>
      <c r="C118" s="104" t="s">
        <v>164</v>
      </c>
      <c r="D118" s="8"/>
      <c r="E118" s="8">
        <f>3000*10</f>
        <v>30000</v>
      </c>
    </row>
    <row r="119" spans="2:5" ht="13.5" thickBot="1">
      <c r="B119" s="7"/>
      <c r="C119" s="7" t="s">
        <v>94</v>
      </c>
      <c r="D119" s="8"/>
      <c r="E119" s="8"/>
    </row>
    <row r="120" spans="2:5" ht="13.5" thickBot="1">
      <c r="B120" s="7"/>
      <c r="C120" s="7" t="s">
        <v>95</v>
      </c>
      <c r="D120" s="17">
        <f>SUM(D111:D119)</f>
        <v>3267750</v>
      </c>
      <c r="E120" s="17">
        <f>SUM(E111:E119)</f>
        <v>3267750</v>
      </c>
    </row>
    <row r="121" spans="2:5" ht="13.5" thickTop="1">
      <c r="B121" s="7"/>
      <c r="C121" s="7"/>
      <c r="D121" s="8"/>
      <c r="E121" s="8"/>
    </row>
    <row r="122" spans="2:5" ht="12.75">
      <c r="B122" s="7"/>
      <c r="C122" s="7"/>
      <c r="D122" s="8"/>
      <c r="E122" s="8"/>
    </row>
  </sheetData>
  <sheetProtection/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">
      <selection activeCell="B4" sqref="B4:F4"/>
    </sheetView>
  </sheetViews>
  <sheetFormatPr defaultColWidth="11.421875" defaultRowHeight="12.75"/>
  <cols>
    <col min="2" max="2" width="5.00390625" style="20" bestFit="1" customWidth="1"/>
    <col min="3" max="3" width="21.421875" style="0" bestFit="1" customWidth="1"/>
    <col min="4" max="4" width="11.421875" style="1" customWidth="1"/>
    <col min="5" max="6" width="12.8515625" style="1" bestFit="1" customWidth="1"/>
  </cols>
  <sheetData>
    <row r="1" spans="2:8" ht="12.75">
      <c r="B1" s="111" t="s">
        <v>32</v>
      </c>
      <c r="C1" s="111"/>
      <c r="D1" s="111"/>
      <c r="E1" s="111"/>
      <c r="F1" s="111"/>
      <c r="G1" s="21"/>
      <c r="H1" s="21"/>
    </row>
    <row r="2" spans="2:8" ht="12.75">
      <c r="B2" s="111" t="s">
        <v>105</v>
      </c>
      <c r="C2" s="111"/>
      <c r="D2" s="111"/>
      <c r="E2" s="111"/>
      <c r="F2" s="111"/>
      <c r="G2" s="21"/>
      <c r="H2" s="21"/>
    </row>
    <row r="3" spans="2:8" ht="12.75">
      <c r="B3" s="111" t="s">
        <v>131</v>
      </c>
      <c r="C3" s="111"/>
      <c r="D3" s="111"/>
      <c r="E3" s="111"/>
      <c r="F3" s="111"/>
      <c r="G3" s="21"/>
      <c r="H3" s="21"/>
    </row>
    <row r="4" spans="2:8" ht="12.75">
      <c r="B4" s="111" t="s">
        <v>34</v>
      </c>
      <c r="C4" s="111"/>
      <c r="D4" s="111"/>
      <c r="E4" s="111"/>
      <c r="F4" s="111"/>
      <c r="G4" s="21"/>
      <c r="H4" s="21"/>
    </row>
    <row r="6" spans="2:6" ht="12.75">
      <c r="B6" s="11"/>
      <c r="C6" s="7" t="s">
        <v>98</v>
      </c>
      <c r="D6" s="8"/>
      <c r="E6" s="8"/>
      <c r="F6" s="8">
        <f>SUM(E7:E12)</f>
        <v>3267750</v>
      </c>
    </row>
    <row r="7" spans="2:6" ht="12.75">
      <c r="B7" s="11">
        <v>8730</v>
      </c>
      <c r="C7" s="7" t="s">
        <v>99</v>
      </c>
      <c r="D7" s="8">
        <f>'HOJA DE TRABAJO'!F70</f>
        <v>300</v>
      </c>
      <c r="E7" s="8">
        <f aca="true" t="shared" si="0" ref="E7:E12">D7*B7</f>
        <v>2619000</v>
      </c>
      <c r="F7" s="8"/>
    </row>
    <row r="8" spans="2:6" ht="12.75">
      <c r="B8" s="11">
        <v>3000</v>
      </c>
      <c r="C8" s="7" t="s">
        <v>100</v>
      </c>
      <c r="D8" s="8">
        <v>10</v>
      </c>
      <c r="E8" s="8">
        <f t="shared" si="0"/>
        <v>30000</v>
      </c>
      <c r="F8" s="8"/>
    </row>
    <row r="9" spans="2:6" ht="12.75">
      <c r="B9" s="11">
        <v>3750</v>
      </c>
      <c r="C9" s="7" t="s">
        <v>63</v>
      </c>
      <c r="D9" s="8">
        <f>'HOJA DE TRABAJO'!D78</f>
        <v>45</v>
      </c>
      <c r="E9" s="8">
        <f t="shared" si="0"/>
        <v>168750</v>
      </c>
      <c r="F9" s="8"/>
    </row>
    <row r="10" spans="2:6" ht="12.75">
      <c r="B10" s="11">
        <v>7500</v>
      </c>
      <c r="C10" s="7" t="s">
        <v>101</v>
      </c>
      <c r="D10" s="8">
        <f>'HOJA DE TRABAJO'!J78</f>
        <v>20</v>
      </c>
      <c r="E10" s="8">
        <f t="shared" si="0"/>
        <v>150000</v>
      </c>
      <c r="F10" s="8"/>
    </row>
    <row r="11" spans="2:6" ht="12.75">
      <c r="B11" s="11">
        <v>3750</v>
      </c>
      <c r="C11" s="7" t="s">
        <v>158</v>
      </c>
      <c r="D11" s="8">
        <f>'HOJA DE TRABAJO'!G78</f>
        <v>40</v>
      </c>
      <c r="E11" s="57">
        <f t="shared" si="0"/>
        <v>150000</v>
      </c>
      <c r="F11" s="8"/>
    </row>
    <row r="12" spans="2:9" ht="13.5" thickBot="1">
      <c r="B12" s="11">
        <v>300</v>
      </c>
      <c r="C12" s="7" t="s">
        <v>102</v>
      </c>
      <c r="D12" s="8">
        <v>500</v>
      </c>
      <c r="E12" s="14">
        <f t="shared" si="0"/>
        <v>150000</v>
      </c>
      <c r="F12" s="8"/>
      <c r="I12">
        <f>150000/300</f>
        <v>500</v>
      </c>
    </row>
    <row r="13" spans="2:6" ht="12.75">
      <c r="B13" s="11" t="s">
        <v>28</v>
      </c>
      <c r="C13" s="7" t="s">
        <v>103</v>
      </c>
      <c r="D13" s="8"/>
      <c r="E13" s="12"/>
      <c r="F13" s="8">
        <f>SUM(E14:E18)+E19</f>
        <v>1105983.1191666666</v>
      </c>
    </row>
    <row r="14" spans="2:6" ht="12.75">
      <c r="B14" s="11">
        <v>8730</v>
      </c>
      <c r="C14" s="7" t="s">
        <v>99</v>
      </c>
      <c r="D14" s="8">
        <f>'HOJA DE TRABAJO'!F65</f>
        <v>77.03802147766322</v>
      </c>
      <c r="E14" s="8">
        <f aca="true" t="shared" si="1" ref="E14:E19">D14*B14</f>
        <v>672541.9274999999</v>
      </c>
      <c r="F14" s="8"/>
    </row>
    <row r="15" spans="2:6" ht="12.75">
      <c r="B15" s="11">
        <v>3000</v>
      </c>
      <c r="C15" s="7" t="s">
        <v>100</v>
      </c>
      <c r="D15" s="8">
        <v>5</v>
      </c>
      <c r="E15" s="8">
        <f t="shared" si="1"/>
        <v>15000</v>
      </c>
      <c r="F15" s="8"/>
    </row>
    <row r="16" spans="2:6" ht="12.75">
      <c r="B16" s="11">
        <v>3750</v>
      </c>
      <c r="C16" s="7" t="s">
        <v>63</v>
      </c>
      <c r="D16" s="8">
        <f>'HOJA DE TRABAJO'!D77</f>
        <v>39.77455555555555</v>
      </c>
      <c r="E16" s="8">
        <f t="shared" si="1"/>
        <v>149154.5833333333</v>
      </c>
      <c r="F16" s="8"/>
    </row>
    <row r="17" spans="2:6" ht="12.75">
      <c r="B17" s="11">
        <v>7500</v>
      </c>
      <c r="C17" s="7" t="s">
        <v>101</v>
      </c>
      <c r="D17" s="8">
        <f>'HOJA DE TRABAJO'!J77</f>
        <v>15</v>
      </c>
      <c r="E17" s="8">
        <f t="shared" si="1"/>
        <v>112500</v>
      </c>
      <c r="F17" s="8"/>
    </row>
    <row r="18" spans="2:6" ht="12.75">
      <c r="B18" s="11">
        <v>3750</v>
      </c>
      <c r="C18" s="7" t="s">
        <v>158</v>
      </c>
      <c r="D18" s="8">
        <f>'HOJA DE TRABAJO'!G77</f>
        <v>26.441222222222223</v>
      </c>
      <c r="E18" s="57">
        <f t="shared" si="1"/>
        <v>99154.58333333333</v>
      </c>
      <c r="F18" s="57"/>
    </row>
    <row r="19" spans="2:6" ht="12.75">
      <c r="B19" s="11">
        <v>300</v>
      </c>
      <c r="C19" s="7" t="s">
        <v>102</v>
      </c>
      <c r="D19" s="8">
        <f>'HOJA DE TRABAJO'!F77</f>
        <v>192.10674999999998</v>
      </c>
      <c r="E19" s="8">
        <f t="shared" si="1"/>
        <v>57632.024999999994</v>
      </c>
      <c r="F19" s="8"/>
    </row>
    <row r="20" spans="2:6" ht="12.75">
      <c r="B20" s="11"/>
      <c r="C20" s="7" t="s">
        <v>104</v>
      </c>
      <c r="D20" s="8"/>
      <c r="E20" s="12"/>
      <c r="F20" s="12">
        <f>F6-F13</f>
        <v>2161766.8808333334</v>
      </c>
    </row>
    <row r="21" spans="2:6" ht="12.75">
      <c r="B21" s="11" t="s">
        <v>28</v>
      </c>
      <c r="C21" s="7" t="s">
        <v>96</v>
      </c>
      <c r="D21" s="8"/>
      <c r="E21" s="8"/>
      <c r="F21" s="8">
        <f>F20*0.005</f>
        <v>10808.834404166668</v>
      </c>
    </row>
    <row r="22" spans="2:6" ht="13.5" thickBot="1">
      <c r="B22" s="11" t="s">
        <v>28</v>
      </c>
      <c r="C22" s="7" t="s">
        <v>97</v>
      </c>
      <c r="D22" s="8"/>
      <c r="E22" s="8"/>
      <c r="F22" s="14">
        <f>(F20-F21)*0.31</f>
        <v>666796.9943930416</v>
      </c>
    </row>
    <row r="23" spans="2:6" ht="13.5" thickBot="1">
      <c r="B23" s="11"/>
      <c r="C23" s="7" t="s">
        <v>106</v>
      </c>
      <c r="D23" s="8"/>
      <c r="E23" s="8"/>
      <c r="F23" s="17">
        <f>F20-F22-F21</f>
        <v>1484161.0520361252</v>
      </c>
    </row>
    <row r="24" spans="2:6" ht="13.5" thickTop="1">
      <c r="B24" s="11"/>
      <c r="C24" s="7"/>
      <c r="D24" s="8"/>
      <c r="E24" s="8"/>
      <c r="F24" s="12"/>
    </row>
    <row r="25" spans="2:6" ht="12.75">
      <c r="B25" s="11"/>
      <c r="C25" s="7"/>
      <c r="D25" s="8"/>
      <c r="E25" s="8"/>
      <c r="F25" s="8"/>
    </row>
    <row r="26" spans="2:6" ht="12.75">
      <c r="B26" s="11"/>
      <c r="C26" s="7"/>
      <c r="D26" s="8"/>
      <c r="E26" s="8"/>
      <c r="F26" s="8"/>
    </row>
    <row r="27" spans="2:6" ht="12.75">
      <c r="B27" s="11"/>
      <c r="C27" s="7"/>
      <c r="D27" s="8"/>
      <c r="E27" s="8"/>
      <c r="F27" s="8"/>
    </row>
    <row r="28" spans="2:6" ht="12.75">
      <c r="B28" s="11"/>
      <c r="C28" s="7"/>
      <c r="D28" s="8"/>
      <c r="E28" s="8"/>
      <c r="F28" s="8"/>
    </row>
    <row r="29" spans="2:6" ht="12.75">
      <c r="B29" s="11"/>
      <c r="C29" s="7"/>
      <c r="D29" s="8"/>
      <c r="E29" s="8"/>
      <c r="F29" s="8"/>
    </row>
    <row r="30" spans="2:6" ht="12.75">
      <c r="B30" s="11"/>
      <c r="C30" s="7"/>
      <c r="D30" s="8"/>
      <c r="E30" s="8"/>
      <c r="F30" s="8"/>
    </row>
    <row r="31" spans="2:6" ht="12.75">
      <c r="B31" s="11"/>
      <c r="C31" s="7"/>
      <c r="D31" s="8"/>
      <c r="E31" s="8"/>
      <c r="F31" s="8"/>
    </row>
  </sheetData>
  <sheetProtection/>
  <mergeCells count="4">
    <mergeCell ref="B3:F3"/>
    <mergeCell ref="B4:F4"/>
    <mergeCell ref="B1:F1"/>
    <mergeCell ref="B2:F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Mynor Estuardo Matta Gonzále</dc:creator>
  <cp:keywords/>
  <dc:description/>
  <cp:lastModifiedBy>RECEPCION</cp:lastModifiedBy>
  <cp:lastPrinted>2013-04-25T22:07:05Z</cp:lastPrinted>
  <dcterms:created xsi:type="dcterms:W3CDTF">2009-03-02T22:24:34Z</dcterms:created>
  <dcterms:modified xsi:type="dcterms:W3CDTF">2014-04-08T22:53:58Z</dcterms:modified>
  <cp:category/>
  <cp:version/>
  <cp:contentType/>
  <cp:contentStatus/>
</cp:coreProperties>
</file>