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61" windowWidth="8895" windowHeight="7440" tabRatio="866" activeTab="0"/>
  </bookViews>
  <sheets>
    <sheet name="GTOS. FAB." sheetId="1" r:id="rId1"/>
    <sheet name="Res_Partidas7" sheetId="2" r:id="rId2"/>
    <sheet name="Anexos" sheetId="3" r:id="rId3"/>
    <sheet name="Consumos" sheetId="4" r:id="rId4"/>
    <sheet name="P.Continuo" sheetId="5" r:id="rId5"/>
  </sheets>
  <definedNames/>
  <calcPr fullCalcOnLoad="1"/>
</workbook>
</file>

<file path=xl/sharedStrings.xml><?xml version="1.0" encoding="utf-8"?>
<sst xmlns="http://schemas.openxmlformats.org/spreadsheetml/2006/main" count="554" uniqueCount="251">
  <si>
    <t>DEBE</t>
  </si>
  <si>
    <t>HABER</t>
  </si>
  <si>
    <t>EMPAQUE</t>
  </si>
  <si>
    <t>CONTROL DE CALIDAD</t>
  </si>
  <si>
    <t>SERVICIOS GENERALES</t>
  </si>
  <si>
    <t>RECURSOS HUMANOS</t>
  </si>
  <si>
    <t>ENVASADO</t>
  </si>
  <si>
    <t>MANT. MAQUINARIA</t>
  </si>
  <si>
    <t>----------- 31/01/12 -----------</t>
  </si>
  <si>
    <t>GASTOS INDIRECTOS DE FABRICACION EN PROCESO</t>
  </si>
  <si>
    <t>P#</t>
  </si>
  <si>
    <t>BODEGAS</t>
  </si>
  <si>
    <t>ADMON. Y
VENTAS</t>
  </si>
  <si>
    <t>TOTAL DE 
COSTOS</t>
  </si>
  <si>
    <t>DIAS TRABAJADOS</t>
  </si>
  <si>
    <t>HORAS TRABAJADAS</t>
  </si>
  <si>
    <t>HORAS FABRICA</t>
  </si>
  <si>
    <t>HORAS HOMBRE</t>
  </si>
  <si>
    <t>-</t>
  </si>
  <si>
    <t>SALARIOS</t>
  </si>
  <si>
    <t>BONIFIC. INCENTIVO 37-2001</t>
  </si>
  <si>
    <t>C.H.H.M.O.D.</t>
  </si>
  <si>
    <t>DISTRIBUCION PRIMARIA</t>
  </si>
  <si>
    <t>SUELDOS</t>
  </si>
  <si>
    <t>PRESTAC. LAB. MOD</t>
  </si>
  <si>
    <t>PRESTAC. LAB. MOI</t>
  </si>
  <si>
    <t>DEP. MOBILIARIO Y EQUIPO</t>
  </si>
  <si>
    <t>DEP. MAQUINARIA</t>
  </si>
  <si>
    <t>ENERGIA ELECTRICA</t>
  </si>
  <si>
    <t>COMBUSTIBLE</t>
  </si>
  <si>
    <t>DISTRIBUCION SECUNDARIA</t>
  </si>
  <si>
    <t>ORDEN DE LA DISTRIBUCION</t>
  </si>
  <si>
    <t>C.H.H.G.F.</t>
  </si>
  <si>
    <t>C.H.H.C.C.</t>
  </si>
  <si>
    <t>MANUFACT</t>
  </si>
  <si>
    <t>C. CALIDAD</t>
  </si>
  <si>
    <t>MANTEN. MAQUINAR</t>
  </si>
  <si>
    <t>HORAS CONTROLADAS</t>
  </si>
  <si>
    <t>NO. DE PERSONAS MOD</t>
  </si>
  <si>
    <t>NO. DE PERSONAS MOI</t>
  </si>
  <si>
    <t>KW</t>
  </si>
  <si>
    <t>KW * HF</t>
  </si>
  <si>
    <t>AREA OCUPADA</t>
  </si>
  <si>
    <t>TOTAL PERSONAS</t>
  </si>
  <si>
    <t>GASTOS DE FABRICACIÓN</t>
  </si>
  <si>
    <t>DESCRIPCIÓN</t>
  </si>
  <si>
    <t>TOTAL MOD</t>
  </si>
  <si>
    <t>Departamento</t>
  </si>
  <si>
    <t>Mobiliario y equipo</t>
  </si>
  <si>
    <t>Coeficiente</t>
  </si>
  <si>
    <t xml:space="preserve">Costo </t>
  </si>
  <si>
    <t>Manufactura</t>
  </si>
  <si>
    <t>Llenado</t>
  </si>
  <si>
    <t>Empaque</t>
  </si>
  <si>
    <t>Control de calidad</t>
  </si>
  <si>
    <t xml:space="preserve">Total </t>
  </si>
  <si>
    <t xml:space="preserve">Departamento </t>
  </si>
  <si>
    <t>Valor maquinaria</t>
  </si>
  <si>
    <t>Kw. x HF</t>
  </si>
  <si>
    <t xml:space="preserve">Valor de Mobiliario </t>
  </si>
  <si>
    <t>Maquinaria</t>
  </si>
  <si>
    <t>Control de Calidad</t>
  </si>
  <si>
    <t>Servicios Generales</t>
  </si>
  <si>
    <t xml:space="preserve">% Consumo </t>
  </si>
  <si>
    <t>Costo</t>
  </si>
  <si>
    <t xml:space="preserve">Costo total </t>
  </si>
  <si>
    <t>ANEXOS - DISTRIBUCION PRIMARIA</t>
  </si>
  <si>
    <t>Anexo 01</t>
  </si>
  <si>
    <t>Anexo 02</t>
  </si>
  <si>
    <t>Anexo 03</t>
  </si>
  <si>
    <t>Anexo 04</t>
  </si>
  <si>
    <t>Anexo 05</t>
  </si>
  <si>
    <t xml:space="preserve">Q. 340,000 * 10% / 12 meses = </t>
  </si>
  <si>
    <t xml:space="preserve">Q. 50,000 * 10%  / 12 meses = </t>
  </si>
  <si>
    <t>Q. 16,454.00 / 1.12 =</t>
  </si>
  <si>
    <t>Q. 3,600.00</t>
  </si>
  <si>
    <t>SEGUROS ACTIVOS FIJOS</t>
  </si>
  <si>
    <t xml:space="preserve">80 Galones * Q. 22.40 / 1.12 = </t>
  </si>
  <si>
    <t>consumidos</t>
  </si>
  <si>
    <t>Envasado</t>
  </si>
  <si>
    <t>Mant. Maquinaria</t>
  </si>
  <si>
    <t>Bodega</t>
  </si>
  <si>
    <t>Recursos Humanos</t>
  </si>
  <si>
    <t>Admon y Ventas</t>
  </si>
  <si>
    <t>MATERIALES INDIRECTOS</t>
  </si>
  <si>
    <t># DE SERVICIOS QUE PRESTAN</t>
  </si>
  <si>
    <t>ANEXOS - DISTRIBUCION SECUNDARIA</t>
  </si>
  <si>
    <t xml:space="preserve">Factor </t>
  </si>
  <si>
    <t xml:space="preserve">Costo Total </t>
  </si>
  <si>
    <t>Factor</t>
  </si>
  <si>
    <t>Total horas específicas reales</t>
  </si>
  <si>
    <t>Producción  en kilos</t>
  </si>
  <si>
    <t>Número de empleados</t>
  </si>
  <si>
    <t>DEP. EQUIPO DE CÓMPUTO</t>
  </si>
  <si>
    <t>DEP. EDIFICIOS</t>
  </si>
  <si>
    <t>E. de Cómputo</t>
  </si>
  <si>
    <t>Edificios</t>
  </si>
  <si>
    <t>Anexo 06</t>
  </si>
  <si>
    <t>Anexo 07</t>
  </si>
  <si>
    <t xml:space="preserve">Q. 250,000 * 5%  / 12 meses = </t>
  </si>
  <si>
    <t>Almacén</t>
  </si>
  <si>
    <t>Relaciones Industriales</t>
  </si>
  <si>
    <t>Administración y ventas</t>
  </si>
  <si>
    <t>Valor Edificio</t>
  </si>
  <si>
    <t xml:space="preserve">Q. 40,000 * 33.33%  / 12 meses = </t>
  </si>
  <si>
    <t>Corresponde al Departamento de Administración</t>
  </si>
  <si>
    <t>TOTAL DISTRIBUCIÓN SECUNDARIA</t>
  </si>
  <si>
    <t>TOTAL DISTRIBUCIÓN PRIMARIA</t>
  </si>
  <si>
    <t>HH</t>
  </si>
  <si>
    <t>Consumo</t>
  </si>
  <si>
    <t>PARTIDAS DE GASTOS DE FABRICACIÓN</t>
  </si>
  <si>
    <t>Depreciación Mobiliario y Equipo</t>
  </si>
  <si>
    <t xml:space="preserve">          Depreciación acumulada mob. Y equipo</t>
  </si>
  <si>
    <t>R/ de la depreciación del mes de mob y equi</t>
  </si>
  <si>
    <t>GASTOS DE OPERACIÓN</t>
  </si>
  <si>
    <t>Depreciación Maquinaria</t>
  </si>
  <si>
    <t xml:space="preserve">          Depreciación acumulada maquinaria</t>
  </si>
  <si>
    <t>Depreciación Edificios</t>
  </si>
  <si>
    <t xml:space="preserve">          Depreciación acumulada edificios</t>
  </si>
  <si>
    <t>Depreciación Equipo de Computación</t>
  </si>
  <si>
    <t xml:space="preserve">          Depreciación acumulada equi. Computación</t>
  </si>
  <si>
    <t>Energía Eléctrica</t>
  </si>
  <si>
    <t xml:space="preserve">          Caja y Bancos</t>
  </si>
  <si>
    <t>R/ de la depreciación del mes de eq. Comput</t>
  </si>
  <si>
    <t>R/ de la depreciación del mes de edificios</t>
  </si>
  <si>
    <t>R/ de la depreciación del mes de maquinar</t>
  </si>
  <si>
    <t>R/ de la energía eléctrica del mes</t>
  </si>
  <si>
    <t>Seguros pagados</t>
  </si>
  <si>
    <t>R/ del seguro de activos fijos del mes</t>
  </si>
  <si>
    <t xml:space="preserve">          Seguros pagados por anticipado</t>
  </si>
  <si>
    <t>Combustibles y Lubricantes</t>
  </si>
  <si>
    <t>R/ del consumo de combustible del mes</t>
  </si>
  <si>
    <t>Materiales Indirectos</t>
  </si>
  <si>
    <t>R/ del consumo de materiales indirectos</t>
  </si>
  <si>
    <t>DISTRIBUCIÓN PRIMARIA</t>
  </si>
  <si>
    <t>DISTRIBUCIÓN SECUNDARIA</t>
  </si>
  <si>
    <t>GASTOS INDIRECTOS DE FABRICACIÓN EN PROCESO</t>
  </si>
  <si>
    <t xml:space="preserve">          Servicios Generales</t>
  </si>
  <si>
    <t xml:space="preserve">R/ de la distribución secundaria </t>
  </si>
  <si>
    <t xml:space="preserve">          Mant. Maquinaria</t>
  </si>
  <si>
    <t xml:space="preserve">          Control de Calidad</t>
  </si>
  <si>
    <t>….</t>
  </si>
  <si>
    <t>ALMACÉN</t>
  </si>
  <si>
    <t>RELACIONES INDUST.</t>
  </si>
  <si>
    <t>Mantenimiento Maquinaria</t>
  </si>
  <si>
    <t>Coeficiente (factor) = Q. / 51 empleados =</t>
  </si>
  <si>
    <t xml:space="preserve">          Almacén</t>
  </si>
  <si>
    <t xml:space="preserve">          Relaciones Industriales</t>
  </si>
  <si>
    <t>PERFUME DE ROSAS</t>
  </si>
  <si>
    <t>MES:  ENERO DE 2014</t>
  </si>
  <si>
    <t>PROCESO CONTINUO</t>
  </si>
  <si>
    <t>INFORME DE UNIDADES PRODUCIDAS</t>
  </si>
  <si>
    <t>Tambos/Litros</t>
  </si>
  <si>
    <t>Frascos</t>
  </si>
  <si>
    <t>Cajas</t>
  </si>
  <si>
    <t>INFORME DE PRODUCCION</t>
  </si>
  <si>
    <t>MANUFACTURA</t>
  </si>
  <si>
    <t>I</t>
  </si>
  <si>
    <t>UNIDADES A DISTRIBUIR</t>
  </si>
  <si>
    <t>Inventario Inicial en Proceso</t>
  </si>
  <si>
    <t>(+)</t>
  </si>
  <si>
    <t>Iniciadas en este proceso</t>
  </si>
  <si>
    <t>Recibidas del proceso anterior</t>
  </si>
  <si>
    <t>T O T A L</t>
  </si>
  <si>
    <t>II</t>
  </si>
  <si>
    <t>DISTRIBUCION DE UNIDADES</t>
  </si>
  <si>
    <t>Producción Terminada y Transferida</t>
  </si>
  <si>
    <t>Producción Terminada y Retenida</t>
  </si>
  <si>
    <t>Producción Terminada y Destruida</t>
  </si>
  <si>
    <t xml:space="preserve">        Al Inicio</t>
  </si>
  <si>
    <t xml:space="preserve">        Al Final</t>
  </si>
  <si>
    <t>Merma Normal</t>
  </si>
  <si>
    <t>Inventario Final en Proceso</t>
  </si>
  <si>
    <t>III</t>
  </si>
  <si>
    <t>UNIDADES EQUIVALENTES</t>
  </si>
  <si>
    <t>Pérdidas de producción (destruidas)</t>
  </si>
  <si>
    <t>INFORME DE COSTO DE PRODUCCIÓN</t>
  </si>
  <si>
    <t>INFORME DE COSTOS</t>
  </si>
  <si>
    <t>DEPARTAMENTO DE MANUFACTURA</t>
  </si>
  <si>
    <t>DEPARTAMENTO DE ENVASADO</t>
  </si>
  <si>
    <t>DEPARTAMENTO DE EMPAQUE</t>
  </si>
  <si>
    <t>MATERIA PRIMA</t>
  </si>
  <si>
    <t>MOD</t>
  </si>
  <si>
    <t>G. FABRICAC</t>
  </si>
  <si>
    <t>COSTO TOTAL</t>
  </si>
  <si>
    <t>COSTOS A DISTRIBUIR</t>
  </si>
  <si>
    <t>Costos del Periodo</t>
  </si>
  <si>
    <t>Costos del Centro Anterior</t>
  </si>
  <si>
    <t>Unidades Base de Distribución</t>
  </si>
  <si>
    <t>Costos Promedios Unitarios</t>
  </si>
  <si>
    <t>DISTRIBUCION DE COSTOS</t>
  </si>
  <si>
    <t>Producción Terminada y Destruida al Final</t>
  </si>
  <si>
    <t>EMPRESA PERFUME DE ROSAS</t>
  </si>
  <si>
    <t>Inv Final</t>
  </si>
  <si>
    <t xml:space="preserve">Valores </t>
  </si>
  <si>
    <t>Consumos</t>
  </si>
  <si>
    <t>Valores</t>
  </si>
  <si>
    <t>Dev. Bodega</t>
  </si>
  <si>
    <t>Dev. Provee</t>
  </si>
  <si>
    <t>Totales Unid</t>
  </si>
  <si>
    <t>Totales Valor</t>
  </si>
  <si>
    <t>Perfume PSF-200</t>
  </si>
  <si>
    <t>Fragancia FRX-100</t>
  </si>
  <si>
    <t>Totales</t>
  </si>
  <si>
    <t>Frascos de Vidrio</t>
  </si>
  <si>
    <t>Cajas Corrugadas</t>
  </si>
  <si>
    <t>Etiquetas</t>
  </si>
  <si>
    <t>Requisiciones</t>
  </si>
  <si>
    <t>ETIQUETAS</t>
  </si>
  <si>
    <t>M.P.D en proceso</t>
  </si>
  <si>
    <t>P#2</t>
  </si>
  <si>
    <t>P#3</t>
  </si>
  <si>
    <t>P#4</t>
  </si>
  <si>
    <t>Saldo</t>
  </si>
  <si>
    <r>
      <t xml:space="preserve">          </t>
    </r>
    <r>
      <rPr>
        <b/>
        <u val="single"/>
        <sz val="12"/>
        <rFont val="Cambria"/>
        <family val="1"/>
      </rPr>
      <t>Pasivo Corriente</t>
    </r>
  </si>
  <si>
    <r>
      <t xml:space="preserve">          </t>
    </r>
    <r>
      <rPr>
        <b/>
        <u val="single"/>
        <sz val="12"/>
        <rFont val="Cambria"/>
        <family val="1"/>
      </rPr>
      <t>Activo Corriente</t>
    </r>
  </si>
  <si>
    <r>
      <t xml:space="preserve">          </t>
    </r>
    <r>
      <rPr>
        <b/>
        <u val="single"/>
        <sz val="12"/>
        <color indexed="8"/>
        <rFont val="Cambria"/>
        <family val="1"/>
      </rPr>
      <t>GASTOS INDIRECTOS DE FABRICACIÓN EN PROCESO</t>
    </r>
  </si>
  <si>
    <r>
      <t xml:space="preserve">          </t>
    </r>
    <r>
      <rPr>
        <b/>
        <u val="single"/>
        <sz val="12"/>
        <rFont val="Cambria"/>
        <family val="1"/>
      </rPr>
      <t>Cuentas Varias</t>
    </r>
  </si>
  <si>
    <r>
      <t xml:space="preserve">Nombre del gasto: </t>
    </r>
    <r>
      <rPr>
        <b/>
        <sz val="12"/>
        <rFont val="Cambria"/>
        <family val="1"/>
      </rPr>
      <t>Depreciación mobiliario y equipo</t>
    </r>
  </si>
  <si>
    <r>
      <t>Base de cálculo:</t>
    </r>
    <r>
      <rPr>
        <b/>
        <sz val="12"/>
        <rFont val="Cambria"/>
        <family val="1"/>
      </rPr>
      <t xml:space="preserve"> Valor mobiliario y equipo * 10% anual / 12 meses</t>
    </r>
  </si>
  <si>
    <r>
      <t>Coeficiente</t>
    </r>
    <r>
      <rPr>
        <sz val="12"/>
        <rFont val="Cambria"/>
        <family val="1"/>
      </rPr>
      <t xml:space="preserve"> = Q. 416.67 / Q. 50,000 =</t>
    </r>
  </si>
  <si>
    <r>
      <t xml:space="preserve">Nombre del Gasto: </t>
    </r>
    <r>
      <rPr>
        <b/>
        <sz val="12"/>
        <rFont val="Cambria"/>
        <family val="1"/>
      </rPr>
      <t>Depreciación maquinaria</t>
    </r>
  </si>
  <si>
    <r>
      <t xml:space="preserve">Base de cálculo: </t>
    </r>
    <r>
      <rPr>
        <b/>
        <sz val="12"/>
        <rFont val="Cambria"/>
        <family val="1"/>
      </rPr>
      <t xml:space="preserve">Valor maquinaria * 10% anual </t>
    </r>
  </si>
  <si>
    <r>
      <t>Coeficiente</t>
    </r>
    <r>
      <rPr>
        <sz val="12"/>
        <rFont val="Cambria"/>
        <family val="1"/>
      </rPr>
      <t xml:space="preserve"> = Q. 2,833.33 / Q. 340,000 =</t>
    </r>
  </si>
  <si>
    <r>
      <t xml:space="preserve">Nombre del gasto: </t>
    </r>
    <r>
      <rPr>
        <b/>
        <sz val="12"/>
        <rFont val="Cambria"/>
        <family val="1"/>
      </rPr>
      <t>Depreciación edificios</t>
    </r>
  </si>
  <si>
    <r>
      <t>Base de cálculo:</t>
    </r>
    <r>
      <rPr>
        <b/>
        <sz val="12"/>
        <rFont val="Cambria"/>
        <family val="1"/>
      </rPr>
      <t xml:space="preserve"> Valor edificio * 10% anual / 12 meses</t>
    </r>
  </si>
  <si>
    <r>
      <t>Coeficiente</t>
    </r>
    <r>
      <rPr>
        <sz val="12"/>
        <rFont val="Cambria"/>
        <family val="1"/>
      </rPr>
      <t xml:space="preserve"> = Q. 1,041.67 / 2,000 Mts2 =</t>
    </r>
  </si>
  <si>
    <r>
      <t>M</t>
    </r>
    <r>
      <rPr>
        <b/>
        <vertAlign val="superscript"/>
        <sz val="12"/>
        <rFont val="Cambria"/>
        <family val="1"/>
      </rPr>
      <t>2</t>
    </r>
  </si>
  <si>
    <r>
      <t xml:space="preserve">Nombre de Gasto: </t>
    </r>
    <r>
      <rPr>
        <b/>
        <sz val="12"/>
        <rFont val="Cambria"/>
        <family val="1"/>
      </rPr>
      <t>Equipo de Computación</t>
    </r>
  </si>
  <si>
    <r>
      <t>Base de cálculo:</t>
    </r>
    <r>
      <rPr>
        <b/>
        <sz val="12"/>
        <rFont val="Cambria"/>
        <family val="1"/>
      </rPr>
      <t xml:space="preserve"> Equipo de computación * 33.33% anual / 12 meses</t>
    </r>
  </si>
  <si>
    <r>
      <t xml:space="preserve">Nombre del Gasto: </t>
    </r>
    <r>
      <rPr>
        <b/>
        <sz val="12"/>
        <rFont val="Cambria"/>
        <family val="1"/>
      </rPr>
      <t>Energía Eléctrica</t>
    </r>
  </si>
  <si>
    <r>
      <t xml:space="preserve">Base de cálculo: </t>
    </r>
    <r>
      <rPr>
        <b/>
        <sz val="12"/>
        <rFont val="Cambria"/>
        <family val="1"/>
      </rPr>
      <t>Pago / consumo estándar</t>
    </r>
  </si>
  <si>
    <r>
      <t xml:space="preserve">Coeficiente: </t>
    </r>
    <r>
      <rPr>
        <sz val="12"/>
        <rFont val="Cambria"/>
        <family val="1"/>
      </rPr>
      <t>Q. 14,691.07 /  10,539 =</t>
    </r>
  </si>
  <si>
    <r>
      <t>Nombre de Gasto:</t>
    </r>
    <r>
      <rPr>
        <b/>
        <sz val="12"/>
        <rFont val="Cambria"/>
        <family val="1"/>
      </rPr>
      <t xml:space="preserve"> Seguros de los activos fijos</t>
    </r>
  </si>
  <si>
    <r>
      <t xml:space="preserve">Base de cálculo: </t>
    </r>
    <r>
      <rPr>
        <b/>
        <sz val="12"/>
        <rFont val="Cambria"/>
        <family val="1"/>
      </rPr>
      <t>Valor de activos fijos</t>
    </r>
  </si>
  <si>
    <r>
      <t>Coeficiente:</t>
    </r>
    <r>
      <rPr>
        <sz val="12"/>
        <rFont val="Cambria"/>
        <family val="1"/>
      </rPr>
      <t xml:space="preserve"> Q. 3,600.00 / Q. 680,000.00 =</t>
    </r>
  </si>
  <si>
    <r>
      <t xml:space="preserve">Nombre de Gasto: </t>
    </r>
    <r>
      <rPr>
        <b/>
        <sz val="12"/>
        <rFont val="Cambria"/>
        <family val="1"/>
      </rPr>
      <t>Combustible</t>
    </r>
  </si>
  <si>
    <r>
      <t xml:space="preserve">Departamento a Distribuir: </t>
    </r>
    <r>
      <rPr>
        <b/>
        <sz val="12"/>
        <rFont val="Cambria"/>
        <family val="1"/>
      </rPr>
      <t xml:space="preserve">Recursos humanos o relaciones Industriales. </t>
    </r>
  </si>
  <si>
    <r>
      <t xml:space="preserve">Base de cálculo: </t>
    </r>
    <r>
      <rPr>
        <b/>
        <sz val="12"/>
        <rFont val="Cambria"/>
        <family val="1"/>
      </rPr>
      <t>No. De empleados en cada centro</t>
    </r>
  </si>
  <si>
    <r>
      <t xml:space="preserve">Departamento a Distribuir: </t>
    </r>
    <r>
      <rPr>
        <b/>
        <sz val="12"/>
        <rFont val="Cambria"/>
        <family val="1"/>
      </rPr>
      <t>Servicios Generales</t>
    </r>
  </si>
  <si>
    <r>
      <t xml:space="preserve">Base de cálculo: </t>
    </r>
    <r>
      <rPr>
        <b/>
        <sz val="12"/>
        <rFont val="Cambria"/>
        <family val="1"/>
      </rPr>
      <t>Área Mts2 que ocupa cada depto.</t>
    </r>
  </si>
  <si>
    <r>
      <t>Coeficiente: Q. / 1,800 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=</t>
    </r>
  </si>
  <si>
    <r>
      <t xml:space="preserve">Centro: </t>
    </r>
    <r>
      <rPr>
        <b/>
        <sz val="12"/>
        <rFont val="Cambria"/>
        <family val="1"/>
      </rPr>
      <t xml:space="preserve">Mantenimiento Maquinaria </t>
    </r>
  </si>
  <si>
    <r>
      <t>Base de cálculo:</t>
    </r>
    <r>
      <rPr>
        <sz val="12"/>
        <rFont val="Cambria"/>
        <family val="1"/>
      </rPr>
      <t xml:space="preserve"> Hora hombre específica de los centros de producción </t>
    </r>
  </si>
  <si>
    <r>
      <t xml:space="preserve">Coeficiente: </t>
    </r>
    <r>
      <rPr>
        <sz val="12"/>
        <rFont val="Cambria"/>
        <family val="1"/>
      </rPr>
      <t xml:space="preserve">Q. / 864 Horas Reales = </t>
    </r>
  </si>
  <si>
    <r>
      <t xml:space="preserve">Centro: </t>
    </r>
    <r>
      <rPr>
        <b/>
        <sz val="12"/>
        <rFont val="Cambria"/>
        <family val="1"/>
      </rPr>
      <t>Control de calidad</t>
    </r>
  </si>
  <si>
    <r>
      <t xml:space="preserve">Base de cálculo: </t>
    </r>
    <r>
      <rPr>
        <b/>
        <sz val="12"/>
        <rFont val="Cambria"/>
        <family val="1"/>
      </rPr>
      <t>Producción totalmente terminada</t>
    </r>
  </si>
  <si>
    <r>
      <t xml:space="preserve">Coeficiente: </t>
    </r>
    <r>
      <rPr>
        <sz val="12"/>
        <rFont val="Cambria"/>
        <family val="1"/>
      </rPr>
      <t>Q. / 684,000 producción terminada=</t>
    </r>
  </si>
  <si>
    <r>
      <t xml:space="preserve">Departamento a Distribuir: </t>
    </r>
    <r>
      <rPr>
        <b/>
        <sz val="12"/>
        <rFont val="Cambria"/>
        <family val="1"/>
      </rPr>
      <t>Bodega</t>
    </r>
  </si>
  <si>
    <r>
      <t xml:space="preserve">Base de cálculo: </t>
    </r>
    <r>
      <rPr>
        <b/>
        <sz val="12"/>
        <rFont val="Cambria"/>
        <family val="1"/>
      </rPr>
      <t>Consumos</t>
    </r>
  </si>
  <si>
    <r>
      <t xml:space="preserve">Coeficiente: </t>
    </r>
    <r>
      <rPr>
        <sz val="12"/>
        <rFont val="Cambria"/>
        <family val="1"/>
      </rPr>
      <t xml:space="preserve">Q.  /  703,100 = </t>
    </r>
  </si>
</sst>
</file>

<file path=xl/styles.xml><?xml version="1.0" encoding="utf-8"?>
<styleSheet xmlns="http://schemas.openxmlformats.org/spreadsheetml/2006/main">
  <numFmts count="4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_(* #,##0_);_(* \(#,##0\);_(* &quot;-&quot;??_);_(@_)"/>
    <numFmt numFmtId="173" formatCode="0.0000"/>
    <numFmt numFmtId="174" formatCode="_(&quot;Q&quot;* #,##0.0000_);_(&quot;Q&quot;* \(#,##0.0000\);_(&quot;Q&quot;* &quot;-&quot;??_);_(@_)"/>
    <numFmt numFmtId="175" formatCode="#,##0.000000_);\(#,##0.000000\)"/>
    <numFmt numFmtId="176" formatCode="0.000000000"/>
    <numFmt numFmtId="177" formatCode="0.0000000000"/>
    <numFmt numFmtId="178" formatCode="0.0000000"/>
    <numFmt numFmtId="179" formatCode="&quot;Q&quot;#,##0.00"/>
    <numFmt numFmtId="180" formatCode="\Q#,##0_);[Red]&quot;(Q&quot;#,##0\)"/>
    <numFmt numFmtId="181" formatCode="_(\Q* #,##0.00_);_(\Q* \(#,##0.00\);_(\Q* \-??_);_(@_)"/>
    <numFmt numFmtId="182" formatCode="0.00000000000"/>
    <numFmt numFmtId="183" formatCode="#,##0.000000000"/>
    <numFmt numFmtId="184" formatCode="0.0000000%"/>
    <numFmt numFmtId="185" formatCode="0.00000%"/>
    <numFmt numFmtId="186" formatCode="0.0000%"/>
    <numFmt numFmtId="187" formatCode="0.000000%"/>
    <numFmt numFmtId="188" formatCode="0.000%"/>
    <numFmt numFmtId="189" formatCode="_(* #,##0.000_);_(* \(#,##0.000\);_(* &quot;-&quot;??_);_(@_)"/>
    <numFmt numFmtId="190" formatCode="0\o."/>
    <numFmt numFmtId="191" formatCode="_(* #,##0.00000_);_(* \(#,##0.00000\);_(* &quot;-&quot;??_);_(@_)"/>
    <numFmt numFmtId="192" formatCode="_(* #,##0.0000000000_);_(* \(#,##0.0000000000\);_(* &quot;-&quot;??????????_);_(@_)"/>
    <numFmt numFmtId="193" formatCode="[$-100A]dddd\,\ d&quot; de &quot;mmmm&quot; de &quot;yyyy"/>
    <numFmt numFmtId="194" formatCode="_(* #,##0.00000_);_(* \(#,##0.00000\);_(* &quot;-&quot;?????_);_(@_)"/>
    <numFmt numFmtId="195" formatCode="_(* #,##0.000000000_);_(* \(#,##0.000000000\);_(* &quot;-&quot;?????????_);_(@_)"/>
    <numFmt numFmtId="196" formatCode="_-* #,##0\ _Q_-;\-* #,##0\ _Q_-;_-* &quot;-&quot;??\ _Q_-;_-@_-"/>
    <numFmt numFmtId="197" formatCode="_-* #,##0.00\ _Q_-;\-* #,##0.00\ _Q_-;_-* &quot;-&quot;??\ _Q_-;_-@_-"/>
    <numFmt numFmtId="198" formatCode="_(* #,##0.0_);_(* \(#,##0.0\);_(* &quot;-&quot;??_);_(@_)"/>
    <numFmt numFmtId="199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u val="single"/>
      <sz val="12"/>
      <name val="Cambria"/>
      <family val="1"/>
    </font>
    <font>
      <b/>
      <sz val="12"/>
      <color indexed="10"/>
      <name val="Cambria"/>
      <family val="1"/>
    </font>
    <font>
      <b/>
      <vertAlign val="superscript"/>
      <sz val="12"/>
      <name val="Cambria"/>
      <family val="1"/>
    </font>
    <font>
      <vertAlign val="superscript"/>
      <sz val="12"/>
      <name val="Cambria"/>
      <family val="1"/>
    </font>
    <font>
      <u val="single"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19" fillId="32" borderId="0" xfId="0" applyFont="1" applyFill="1" applyAlignment="1">
      <alignment/>
    </xf>
    <xf numFmtId="191" fontId="19" fillId="32" borderId="10" xfId="48" applyNumberFormat="1" applyFont="1" applyFill="1" applyBorder="1" applyAlignment="1">
      <alignment/>
    </xf>
    <xf numFmtId="191" fontId="19" fillId="32" borderId="11" xfId="48" applyNumberFormat="1" applyFont="1" applyFill="1" applyBorder="1" applyAlignment="1">
      <alignment/>
    </xf>
    <xf numFmtId="191" fontId="19" fillId="32" borderId="12" xfId="48" applyNumberFormat="1" applyFont="1" applyFill="1" applyBorder="1" applyAlignment="1">
      <alignment/>
    </xf>
    <xf numFmtId="191" fontId="19" fillId="32" borderId="13" xfId="48" applyNumberFormat="1" applyFont="1" applyFill="1" applyBorder="1" applyAlignment="1">
      <alignment/>
    </xf>
    <xf numFmtId="0" fontId="20" fillId="0" borderId="0" xfId="0" applyFont="1" applyAlignment="1">
      <alignment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horizontal="center"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0" fontId="20" fillId="0" borderId="24" xfId="0" applyFont="1" applyBorder="1" applyAlignment="1" quotePrefix="1">
      <alignment horizontal="center"/>
    </xf>
    <xf numFmtId="3" fontId="20" fillId="0" borderId="21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43" fontId="20" fillId="0" borderId="22" xfId="48" applyFont="1" applyBorder="1" applyAlignment="1">
      <alignment/>
    </xf>
    <xf numFmtId="43" fontId="20" fillId="0" borderId="23" xfId="48" applyFont="1" applyBorder="1" applyAlignment="1">
      <alignment/>
    </xf>
    <xf numFmtId="0" fontId="20" fillId="0" borderId="22" xfId="0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20" fillId="0" borderId="21" xfId="0" applyFont="1" applyBorder="1" applyAlignment="1" quotePrefix="1">
      <alignment horizontal="center"/>
    </xf>
    <xf numFmtId="43" fontId="20" fillId="0" borderId="12" xfId="48" applyFont="1" applyBorder="1" applyAlignment="1">
      <alignment/>
    </xf>
    <xf numFmtId="43" fontId="20" fillId="0" borderId="25" xfId="48" applyFont="1" applyBorder="1" applyAlignment="1">
      <alignment/>
    </xf>
    <xf numFmtId="43" fontId="20" fillId="0" borderId="24" xfId="48" applyFont="1" applyBorder="1" applyAlignment="1">
      <alignment/>
    </xf>
    <xf numFmtId="43" fontId="20" fillId="0" borderId="21" xfId="48" applyFont="1" applyBorder="1" applyAlignment="1">
      <alignment/>
    </xf>
    <xf numFmtId="43" fontId="20" fillId="0" borderId="0" xfId="48" applyFont="1" applyAlignment="1">
      <alignment/>
    </xf>
    <xf numFmtId="43" fontId="20" fillId="0" borderId="0" xfId="0" applyNumberFormat="1" applyFont="1" applyAlignment="1">
      <alignment/>
    </xf>
    <xf numFmtId="4" fontId="19" fillId="0" borderId="26" xfId="48" applyNumberFormat="1" applyFont="1" applyBorder="1" applyAlignment="1">
      <alignment/>
    </xf>
    <xf numFmtId="4" fontId="19" fillId="0" borderId="27" xfId="48" applyNumberFormat="1" applyFont="1" applyBorder="1" applyAlignment="1">
      <alignment/>
    </xf>
    <xf numFmtId="43" fontId="20" fillId="0" borderId="28" xfId="48" applyFont="1" applyBorder="1" applyAlignment="1">
      <alignment/>
    </xf>
    <xf numFmtId="0" fontId="19" fillId="0" borderId="0" xfId="0" applyFont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1" xfId="0" applyFont="1" applyBorder="1" applyAlignment="1">
      <alignment horizontal="center"/>
    </xf>
    <xf numFmtId="43" fontId="20" fillId="0" borderId="22" xfId="48" applyFont="1" applyBorder="1" applyAlignment="1" quotePrefix="1">
      <alignment horizontal="center"/>
    </xf>
    <xf numFmtId="43" fontId="20" fillId="0" borderId="23" xfId="48" applyFont="1" applyBorder="1" applyAlignment="1" quotePrefix="1">
      <alignment horizontal="center"/>
    </xf>
    <xf numFmtId="43" fontId="20" fillId="0" borderId="21" xfId="48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43" fontId="20" fillId="0" borderId="22" xfId="48" applyFont="1" applyFill="1" applyBorder="1" applyAlignment="1">
      <alignment/>
    </xf>
    <xf numFmtId="43" fontId="20" fillId="0" borderId="22" xfId="37" applyNumberFormat="1" applyFont="1" applyBorder="1" applyAlignment="1">
      <alignment/>
    </xf>
    <xf numFmtId="0" fontId="21" fillId="0" borderId="21" xfId="0" applyFont="1" applyBorder="1" applyAlignment="1">
      <alignment horizontal="left" shrinkToFit="1"/>
    </xf>
    <xf numFmtId="43" fontId="19" fillId="0" borderId="30" xfId="48" applyFont="1" applyBorder="1" applyAlignment="1">
      <alignment/>
    </xf>
    <xf numFmtId="43" fontId="19" fillId="0" borderId="31" xfId="48" applyFont="1" applyBorder="1" applyAlignment="1">
      <alignment/>
    </xf>
    <xf numFmtId="43" fontId="19" fillId="0" borderId="32" xfId="48" applyFont="1" applyBorder="1" applyAlignment="1">
      <alignment/>
    </xf>
    <xf numFmtId="43" fontId="19" fillId="0" borderId="33" xfId="48" applyFont="1" applyBorder="1" applyAlignment="1">
      <alignment/>
    </xf>
    <xf numFmtId="43" fontId="20" fillId="0" borderId="29" xfId="48" applyFont="1" applyBorder="1" applyAlignment="1">
      <alignment/>
    </xf>
    <xf numFmtId="43" fontId="20" fillId="0" borderId="34" xfId="48" applyFont="1" applyBorder="1" applyAlignment="1">
      <alignment/>
    </xf>
    <xf numFmtId="43" fontId="20" fillId="0" borderId="35" xfId="48" applyFont="1" applyBorder="1" applyAlignment="1">
      <alignment/>
    </xf>
    <xf numFmtId="172" fontId="20" fillId="0" borderId="22" xfId="37" applyNumberFormat="1" applyFont="1" applyBorder="1" applyAlignment="1">
      <alignment horizontal="center"/>
    </xf>
    <xf numFmtId="172" fontId="20" fillId="0" borderId="23" xfId="37" applyNumberFormat="1" applyFont="1" applyBorder="1" applyAlignment="1">
      <alignment horizontal="center"/>
    </xf>
    <xf numFmtId="190" fontId="20" fillId="0" borderId="24" xfId="48" applyNumberFormat="1" applyFont="1" applyBorder="1" applyAlignment="1">
      <alignment horizontal="center"/>
    </xf>
    <xf numFmtId="0" fontId="20" fillId="32" borderId="21" xfId="0" applyFont="1" applyFill="1" applyBorder="1" applyAlignment="1">
      <alignment/>
    </xf>
    <xf numFmtId="43" fontId="20" fillId="32" borderId="22" xfId="48" applyFont="1" applyFill="1" applyBorder="1" applyAlignment="1">
      <alignment/>
    </xf>
    <xf numFmtId="43" fontId="20" fillId="32" borderId="23" xfId="48" applyFont="1" applyFill="1" applyBorder="1" applyAlignment="1">
      <alignment/>
    </xf>
    <xf numFmtId="43" fontId="20" fillId="32" borderId="24" xfId="48" applyFont="1" applyFill="1" applyBorder="1" applyAlignment="1">
      <alignment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43" fontId="20" fillId="32" borderId="36" xfId="48" applyFont="1" applyFill="1" applyBorder="1" applyAlignment="1">
      <alignment/>
    </xf>
    <xf numFmtId="0" fontId="21" fillId="32" borderId="21" xfId="0" applyFont="1" applyFill="1" applyBorder="1" applyAlignment="1">
      <alignment horizontal="left" shrinkToFit="1"/>
    </xf>
    <xf numFmtId="43" fontId="19" fillId="32" borderId="30" xfId="48" applyFont="1" applyFill="1" applyBorder="1" applyAlignment="1">
      <alignment/>
    </xf>
    <xf numFmtId="43" fontId="19" fillId="32" borderId="26" xfId="48" applyFont="1" applyFill="1" applyBorder="1" applyAlignment="1">
      <alignment/>
    </xf>
    <xf numFmtId="43" fontId="20" fillId="32" borderId="0" xfId="48" applyFont="1" applyFill="1" applyAlignment="1">
      <alignment/>
    </xf>
    <xf numFmtId="43" fontId="20" fillId="32" borderId="0" xfId="0" applyNumberFormat="1" applyFont="1" applyFill="1" applyAlignment="1">
      <alignment/>
    </xf>
    <xf numFmtId="43" fontId="20" fillId="32" borderId="19" xfId="48" applyFont="1" applyFill="1" applyBorder="1" applyAlignment="1">
      <alignment/>
    </xf>
    <xf numFmtId="43" fontId="19" fillId="32" borderId="19" xfId="48" applyFont="1" applyFill="1" applyBorder="1" applyAlignment="1">
      <alignment/>
    </xf>
    <xf numFmtId="43" fontId="19" fillId="32" borderId="0" xfId="48" applyFont="1" applyFill="1" applyAlignment="1">
      <alignment/>
    </xf>
    <xf numFmtId="191" fontId="20" fillId="0" borderId="0" xfId="48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4" fontId="20" fillId="0" borderId="0" xfId="0" applyNumberFormat="1" applyFont="1" applyAlignment="1">
      <alignment/>
    </xf>
    <xf numFmtId="44" fontId="20" fillId="0" borderId="13" xfId="0" applyNumberFormat="1" applyFont="1" applyBorder="1" applyAlignment="1">
      <alignment/>
    </xf>
    <xf numFmtId="0" fontId="20" fillId="0" borderId="0" xfId="0" applyFont="1" applyFill="1" applyAlignment="1">
      <alignment/>
    </xf>
    <xf numFmtId="44" fontId="20" fillId="0" borderId="0" xfId="0" applyNumberFormat="1" applyFont="1" applyBorder="1" applyAlignment="1">
      <alignment/>
    </xf>
    <xf numFmtId="0" fontId="22" fillId="32" borderId="0" xfId="0" applyFont="1" applyFill="1" applyAlignment="1">
      <alignment/>
    </xf>
    <xf numFmtId="49" fontId="22" fillId="32" borderId="0" xfId="0" applyNumberFormat="1" applyFont="1" applyFill="1" applyBorder="1" applyAlignment="1">
      <alignment horizontal="left"/>
    </xf>
    <xf numFmtId="49" fontId="23" fillId="32" borderId="0" xfId="0" applyNumberFormat="1" applyFont="1" applyFill="1" applyBorder="1" applyAlignment="1">
      <alignment horizontal="left"/>
    </xf>
    <xf numFmtId="0" fontId="20" fillId="32" borderId="0" xfId="0" applyFont="1" applyFill="1" applyBorder="1" applyAlignment="1">
      <alignment/>
    </xf>
    <xf numFmtId="44" fontId="20" fillId="32" borderId="0" xfId="0" applyNumberFormat="1" applyFont="1" applyFill="1" applyAlignment="1">
      <alignment/>
    </xf>
    <xf numFmtId="44" fontId="20" fillId="32" borderId="13" xfId="0" applyNumberFormat="1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Fill="1" applyAlignment="1">
      <alignment horizontal="center"/>
    </xf>
    <xf numFmtId="43" fontId="20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 wrapText="1"/>
    </xf>
    <xf numFmtId="0" fontId="20" fillId="0" borderId="37" xfId="0" applyFont="1" applyBorder="1" applyAlignment="1">
      <alignment/>
    </xf>
    <xf numFmtId="181" fontId="20" fillId="0" borderId="37" xfId="0" applyNumberFormat="1" applyFont="1" applyBorder="1" applyAlignment="1">
      <alignment/>
    </xf>
    <xf numFmtId="0" fontId="19" fillId="0" borderId="37" xfId="0" applyFont="1" applyBorder="1" applyAlignment="1">
      <alignment/>
    </xf>
    <xf numFmtId="181" fontId="19" fillId="0" borderId="37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37" xfId="0" applyFont="1" applyBorder="1" applyAlignment="1">
      <alignment horizontal="center"/>
    </xf>
    <xf numFmtId="176" fontId="20" fillId="0" borderId="37" xfId="0" applyNumberFormat="1" applyFont="1" applyBorder="1" applyAlignment="1">
      <alignment/>
    </xf>
    <xf numFmtId="37" fontId="20" fillId="0" borderId="37" xfId="0" applyNumberFormat="1" applyFont="1" applyBorder="1" applyAlignment="1">
      <alignment horizontal="center"/>
    </xf>
    <xf numFmtId="37" fontId="19" fillId="0" borderId="37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81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182" fontId="20" fillId="0" borderId="0" xfId="0" applyNumberFormat="1" applyFont="1" applyAlignment="1">
      <alignment/>
    </xf>
    <xf numFmtId="178" fontId="20" fillId="0" borderId="0" xfId="0" applyNumberFormat="1" applyFont="1" applyBorder="1" applyAlignment="1">
      <alignment/>
    </xf>
    <xf numFmtId="39" fontId="20" fillId="0" borderId="37" xfId="0" applyNumberFormat="1" applyFont="1" applyBorder="1" applyAlignment="1">
      <alignment horizontal="center"/>
    </xf>
    <xf numFmtId="39" fontId="19" fillId="0" borderId="3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20" fillId="0" borderId="37" xfId="0" applyNumberFormat="1" applyFont="1" applyBorder="1" applyAlignment="1">
      <alignment horizontal="center"/>
    </xf>
    <xf numFmtId="181" fontId="20" fillId="0" borderId="0" xfId="0" applyNumberFormat="1" applyFont="1" applyBorder="1" applyAlignment="1">
      <alignment/>
    </xf>
    <xf numFmtId="9" fontId="19" fillId="0" borderId="37" xfId="0" applyNumberFormat="1" applyFont="1" applyBorder="1" applyAlignment="1">
      <alignment horizontal="center"/>
    </xf>
    <xf numFmtId="0" fontId="19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9" fontId="20" fillId="0" borderId="37" xfId="0" applyNumberFormat="1" applyFont="1" applyFill="1" applyBorder="1" applyAlignment="1">
      <alignment/>
    </xf>
    <xf numFmtId="181" fontId="20" fillId="0" borderId="37" xfId="0" applyNumberFormat="1" applyFont="1" applyFill="1" applyBorder="1" applyAlignment="1">
      <alignment/>
    </xf>
    <xf numFmtId="181" fontId="20" fillId="0" borderId="37" xfId="0" applyNumberFormat="1" applyFont="1" applyFill="1" applyBorder="1" applyAlignment="1">
      <alignment horizontal="center"/>
    </xf>
    <xf numFmtId="181" fontId="20" fillId="0" borderId="0" xfId="0" applyNumberFormat="1" applyFont="1" applyFill="1" applyAlignment="1">
      <alignment/>
    </xf>
    <xf numFmtId="37" fontId="19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181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92" fontId="20" fillId="0" borderId="0" xfId="0" applyNumberFormat="1" applyFont="1" applyFill="1" applyBorder="1" applyAlignment="1">
      <alignment/>
    </xf>
    <xf numFmtId="3" fontId="20" fillId="0" borderId="37" xfId="0" applyNumberFormat="1" applyFont="1" applyFill="1" applyBorder="1" applyAlignment="1">
      <alignment horizontal="center"/>
    </xf>
    <xf numFmtId="177" fontId="20" fillId="0" borderId="37" xfId="0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195" fontId="20" fillId="32" borderId="0" xfId="0" applyNumberFormat="1" applyFont="1" applyFill="1" applyBorder="1" applyAlignment="1">
      <alignment/>
    </xf>
    <xf numFmtId="0" fontId="19" fillId="32" borderId="37" xfId="0" applyFont="1" applyFill="1" applyBorder="1" applyAlignment="1">
      <alignment/>
    </xf>
    <xf numFmtId="0" fontId="19" fillId="32" borderId="37" xfId="0" applyFont="1" applyFill="1" applyBorder="1" applyAlignment="1">
      <alignment horizontal="center"/>
    </xf>
    <xf numFmtId="182" fontId="20" fillId="0" borderId="0" xfId="0" applyNumberFormat="1" applyFont="1" applyFill="1" applyAlignment="1">
      <alignment/>
    </xf>
    <xf numFmtId="0" fontId="20" fillId="32" borderId="37" xfId="0" applyFont="1" applyFill="1" applyBorder="1" applyAlignment="1">
      <alignment/>
    </xf>
    <xf numFmtId="3" fontId="20" fillId="32" borderId="37" xfId="0" applyNumberFormat="1" applyFont="1" applyFill="1" applyBorder="1" applyAlignment="1">
      <alignment horizontal="center"/>
    </xf>
    <xf numFmtId="177" fontId="20" fillId="32" borderId="37" xfId="0" applyNumberFormat="1" applyFont="1" applyFill="1" applyBorder="1" applyAlignment="1">
      <alignment/>
    </xf>
    <xf numFmtId="181" fontId="20" fillId="32" borderId="37" xfId="0" applyNumberFormat="1" applyFont="1" applyFill="1" applyBorder="1" applyAlignment="1">
      <alignment/>
    </xf>
    <xf numFmtId="0" fontId="20" fillId="32" borderId="37" xfId="0" applyFont="1" applyFill="1" applyBorder="1" applyAlignment="1">
      <alignment horizontal="center"/>
    </xf>
    <xf numFmtId="37" fontId="19" fillId="32" borderId="37" xfId="0" applyNumberFormat="1" applyFont="1" applyFill="1" applyBorder="1" applyAlignment="1">
      <alignment horizontal="center"/>
    </xf>
    <xf numFmtId="181" fontId="19" fillId="32" borderId="37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2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6" fontId="20" fillId="32" borderId="37" xfId="0" applyNumberFormat="1" applyFont="1" applyFill="1" applyBorder="1" applyAlignment="1">
      <alignment horizontal="center"/>
    </xf>
    <xf numFmtId="2" fontId="19" fillId="32" borderId="37" xfId="0" applyNumberFormat="1" applyFont="1" applyFill="1" applyBorder="1" applyAlignment="1">
      <alignment/>
    </xf>
    <xf numFmtId="4" fontId="20" fillId="32" borderId="37" xfId="0" applyNumberFormat="1" applyFont="1" applyFill="1" applyBorder="1" applyAlignment="1">
      <alignment horizontal="center"/>
    </xf>
    <xf numFmtId="176" fontId="20" fillId="32" borderId="37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0" fillId="0" borderId="37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4" fontId="20" fillId="0" borderId="38" xfId="0" applyNumberFormat="1" applyFont="1" applyBorder="1" applyAlignment="1">
      <alignment horizontal="center"/>
    </xf>
    <xf numFmtId="4" fontId="19" fillId="0" borderId="38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39" xfId="0" applyFont="1" applyBorder="1" applyAlignment="1">
      <alignment horizontal="center"/>
    </xf>
    <xf numFmtId="4" fontId="20" fillId="0" borderId="39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4" fontId="20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43" xfId="0" applyNumberFormat="1" applyFont="1" applyBorder="1" applyAlignment="1">
      <alignment horizontal="center"/>
    </xf>
    <xf numFmtId="4" fontId="20" fillId="0" borderId="44" xfId="0" applyNumberFormat="1" applyFont="1" applyBorder="1" applyAlignment="1">
      <alignment horizontal="center"/>
    </xf>
    <xf numFmtId="3" fontId="20" fillId="0" borderId="45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4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2" fontId="20" fillId="0" borderId="47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4" fontId="20" fillId="35" borderId="39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right"/>
    </xf>
    <xf numFmtId="43" fontId="20" fillId="0" borderId="48" xfId="0" applyNumberFormat="1" applyFont="1" applyBorder="1" applyAlignment="1">
      <alignment/>
    </xf>
    <xf numFmtId="43" fontId="20" fillId="0" borderId="49" xfId="0" applyNumberFormat="1" applyFont="1" applyBorder="1" applyAlignment="1">
      <alignment/>
    </xf>
    <xf numFmtId="43" fontId="20" fillId="0" borderId="29" xfId="0" applyNumberFormat="1" applyFont="1" applyBorder="1" applyAlignment="1">
      <alignment/>
    </xf>
    <xf numFmtId="0" fontId="20" fillId="0" borderId="50" xfId="0" applyFont="1" applyBorder="1" applyAlignment="1">
      <alignment/>
    </xf>
    <xf numFmtId="4" fontId="20" fillId="0" borderId="23" xfId="0" applyNumberFormat="1" applyFont="1" applyBorder="1" applyAlignment="1">
      <alignment/>
    </xf>
    <xf numFmtId="4" fontId="20" fillId="0" borderId="42" xfId="0" applyNumberFormat="1" applyFont="1" applyBorder="1" applyAlignment="1">
      <alignment/>
    </xf>
    <xf numFmtId="4" fontId="20" fillId="35" borderId="0" xfId="0" applyNumberFormat="1" applyFont="1" applyFill="1" applyAlignment="1">
      <alignment/>
    </xf>
    <xf numFmtId="0" fontId="20" fillId="0" borderId="46" xfId="0" applyFont="1" applyBorder="1" applyAlignment="1">
      <alignment/>
    </xf>
    <xf numFmtId="3" fontId="20" fillId="0" borderId="51" xfId="48" applyNumberFormat="1" applyFont="1" applyBorder="1" applyAlignment="1">
      <alignment horizontal="center"/>
    </xf>
    <xf numFmtId="3" fontId="20" fillId="0" borderId="52" xfId="48" applyNumberFormat="1" applyFont="1" applyBorder="1" applyAlignment="1">
      <alignment horizontal="center"/>
    </xf>
    <xf numFmtId="3" fontId="20" fillId="0" borderId="53" xfId="48" applyNumberFormat="1" applyFont="1" applyBorder="1" applyAlignment="1">
      <alignment horizontal="center"/>
    </xf>
    <xf numFmtId="3" fontId="20" fillId="0" borderId="54" xfId="48" applyNumberFormat="1" applyFont="1" applyBorder="1" applyAlignment="1">
      <alignment horizontal="center" vertical="center"/>
    </xf>
    <xf numFmtId="3" fontId="20" fillId="0" borderId="55" xfId="48" applyNumberFormat="1" applyFont="1" applyBorder="1" applyAlignment="1">
      <alignment horizontal="center"/>
    </xf>
    <xf numFmtId="3" fontId="20" fillId="0" borderId="56" xfId="48" applyNumberFormat="1" applyFont="1" applyBorder="1" applyAlignment="1">
      <alignment horizontal="center"/>
    </xf>
    <xf numFmtId="3" fontId="20" fillId="0" borderId="54" xfId="48" applyNumberFormat="1" applyFont="1" applyBorder="1" applyAlignment="1">
      <alignment horizontal="center"/>
    </xf>
    <xf numFmtId="3" fontId="20" fillId="0" borderId="57" xfId="48" applyNumberFormat="1" applyFont="1" applyBorder="1" applyAlignment="1">
      <alignment horizontal="center"/>
    </xf>
    <xf numFmtId="3" fontId="20" fillId="0" borderId="58" xfId="48" applyNumberFormat="1" applyFont="1" applyBorder="1" applyAlignment="1">
      <alignment horizontal="center"/>
    </xf>
    <xf numFmtId="3" fontId="20" fillId="0" borderId="59" xfId="48" applyNumberFormat="1" applyFont="1" applyBorder="1" applyAlignment="1">
      <alignment horizontal="center"/>
    </xf>
    <xf numFmtId="3" fontId="19" fillId="0" borderId="60" xfId="48" applyNumberFormat="1" applyFont="1" applyBorder="1" applyAlignment="1">
      <alignment horizontal="center"/>
    </xf>
    <xf numFmtId="3" fontId="19" fillId="0" borderId="61" xfId="48" applyNumberFormat="1" applyFont="1" applyBorder="1" applyAlignment="1">
      <alignment horizontal="center"/>
    </xf>
    <xf numFmtId="3" fontId="19" fillId="0" borderId="62" xfId="48" applyNumberFormat="1" applyFont="1" applyBorder="1" applyAlignment="1">
      <alignment horizontal="center"/>
    </xf>
    <xf numFmtId="3" fontId="20" fillId="0" borderId="63" xfId="48" applyNumberFormat="1" applyFont="1" applyBorder="1" applyAlignment="1">
      <alignment horizontal="center"/>
    </xf>
    <xf numFmtId="3" fontId="20" fillId="0" borderId="64" xfId="48" applyNumberFormat="1" applyFont="1" applyBorder="1" applyAlignment="1">
      <alignment horizontal="center"/>
    </xf>
    <xf numFmtId="3" fontId="20" fillId="0" borderId="65" xfId="48" applyNumberFormat="1" applyFont="1" applyBorder="1" applyAlignment="1">
      <alignment horizontal="center"/>
    </xf>
    <xf numFmtId="3" fontId="20" fillId="0" borderId="66" xfId="48" applyNumberFormat="1" applyFont="1" applyBorder="1" applyAlignment="1">
      <alignment horizontal="center"/>
    </xf>
    <xf numFmtId="3" fontId="19" fillId="0" borderId="67" xfId="48" applyNumberFormat="1" applyFont="1" applyBorder="1" applyAlignment="1">
      <alignment horizontal="center"/>
    </xf>
    <xf numFmtId="3" fontId="19" fillId="0" borderId="68" xfId="48" applyNumberFormat="1" applyFont="1" applyBorder="1" applyAlignment="1">
      <alignment horizontal="center"/>
    </xf>
    <xf numFmtId="3" fontId="20" fillId="0" borderId="69" xfId="50" applyNumberFormat="1" applyFont="1" applyBorder="1" applyAlignment="1">
      <alignment horizontal="center"/>
    </xf>
    <xf numFmtId="3" fontId="20" fillId="0" borderId="70" xfId="50" applyNumberFormat="1" applyFont="1" applyBorder="1" applyAlignment="1">
      <alignment horizontal="center"/>
    </xf>
    <xf numFmtId="3" fontId="20" fillId="0" borderId="71" xfId="50" applyNumberFormat="1" applyFont="1" applyBorder="1" applyAlignment="1">
      <alignment horizontal="center"/>
    </xf>
    <xf numFmtId="44" fontId="20" fillId="0" borderId="54" xfId="50" applyFont="1" applyBorder="1" applyAlignment="1">
      <alignment horizontal="center"/>
    </xf>
    <xf numFmtId="44" fontId="20" fillId="0" borderId="55" xfId="50" applyFont="1" applyBorder="1" applyAlignment="1">
      <alignment horizontal="center"/>
    </xf>
    <xf numFmtId="44" fontId="20" fillId="0" borderId="56" xfId="50" applyFont="1" applyBorder="1" applyAlignment="1">
      <alignment horizontal="center"/>
    </xf>
    <xf numFmtId="44" fontId="20" fillId="0" borderId="54" xfId="50" applyFont="1" applyBorder="1" applyAlignment="1">
      <alignment horizontal="center" vertical="center"/>
    </xf>
    <xf numFmtId="44" fontId="20" fillId="0" borderId="55" xfId="50" applyFont="1" applyBorder="1" applyAlignment="1">
      <alignment horizontal="center" vertical="center"/>
    </xf>
    <xf numFmtId="44" fontId="20" fillId="0" borderId="57" xfId="50" applyFont="1" applyBorder="1" applyAlignment="1">
      <alignment horizontal="center"/>
    </xf>
    <xf numFmtId="44" fontId="20" fillId="0" borderId="58" xfId="50" applyFont="1" applyBorder="1" applyAlignment="1">
      <alignment horizontal="center"/>
    </xf>
    <xf numFmtId="44" fontId="20" fillId="0" borderId="72" xfId="50" applyFont="1" applyBorder="1" applyAlignment="1">
      <alignment horizontal="center"/>
    </xf>
    <xf numFmtId="44" fontId="19" fillId="0" borderId="60" xfId="50" applyFont="1" applyBorder="1" applyAlignment="1">
      <alignment horizontal="center"/>
    </xf>
    <xf numFmtId="44" fontId="19" fillId="0" borderId="61" xfId="50" applyFont="1" applyBorder="1" applyAlignment="1">
      <alignment horizontal="center"/>
    </xf>
    <xf numFmtId="44" fontId="19" fillId="0" borderId="62" xfId="50" applyFont="1" applyBorder="1" applyAlignment="1">
      <alignment horizontal="center"/>
    </xf>
    <xf numFmtId="37" fontId="20" fillId="0" borderId="63" xfId="50" applyNumberFormat="1" applyFont="1" applyBorder="1" applyAlignment="1">
      <alignment horizontal="center"/>
    </xf>
    <xf numFmtId="37" fontId="20" fillId="0" borderId="64" xfId="50" applyNumberFormat="1" applyFont="1" applyBorder="1" applyAlignment="1">
      <alignment horizontal="center"/>
    </xf>
    <xf numFmtId="37" fontId="20" fillId="0" borderId="65" xfId="50" applyNumberFormat="1" applyFont="1" applyBorder="1" applyAlignment="1">
      <alignment horizontal="center"/>
    </xf>
    <xf numFmtId="37" fontId="20" fillId="0" borderId="54" xfId="50" applyNumberFormat="1" applyFont="1" applyBorder="1" applyAlignment="1">
      <alignment horizontal="center"/>
    </xf>
    <xf numFmtId="37" fontId="20" fillId="0" borderId="55" xfId="50" applyNumberFormat="1" applyFont="1" applyBorder="1" applyAlignment="1">
      <alignment horizontal="center"/>
    </xf>
    <xf numFmtId="37" fontId="20" fillId="0" borderId="56" xfId="50" applyNumberFormat="1" applyFont="1" applyBorder="1" applyAlignment="1">
      <alignment horizontal="center"/>
    </xf>
    <xf numFmtId="175" fontId="19" fillId="0" borderId="60" xfId="50" applyNumberFormat="1" applyFont="1" applyBorder="1" applyAlignment="1">
      <alignment horizontal="center"/>
    </xf>
    <xf numFmtId="175" fontId="19" fillId="0" borderId="61" xfId="50" applyNumberFormat="1" applyFont="1" applyBorder="1" applyAlignment="1">
      <alignment horizontal="center"/>
    </xf>
    <xf numFmtId="175" fontId="19" fillId="0" borderId="62" xfId="50" applyNumberFormat="1" applyFont="1" applyBorder="1" applyAlignment="1">
      <alignment horizontal="center"/>
    </xf>
    <xf numFmtId="44" fontId="20" fillId="0" borderId="63" xfId="50" applyFont="1" applyBorder="1" applyAlignment="1">
      <alignment horizontal="center"/>
    </xf>
    <xf numFmtId="44" fontId="20" fillId="0" borderId="64" xfId="50" applyFont="1" applyBorder="1" applyAlignment="1">
      <alignment horizontal="center"/>
    </xf>
    <xf numFmtId="44" fontId="20" fillId="0" borderId="65" xfId="50" applyFont="1" applyBorder="1" applyAlignment="1">
      <alignment horizontal="center"/>
    </xf>
    <xf numFmtId="0" fontId="21" fillId="0" borderId="0" xfId="0" applyFont="1" applyAlignment="1">
      <alignment/>
    </xf>
    <xf numFmtId="14" fontId="19" fillId="0" borderId="30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" fontId="19" fillId="0" borderId="73" xfId="0" applyNumberFormat="1" applyFont="1" applyBorder="1" applyAlignment="1">
      <alignment horizontal="center"/>
    </xf>
    <xf numFmtId="1" fontId="19" fillId="0" borderId="74" xfId="0" applyNumberFormat="1" applyFont="1" applyBorder="1" applyAlignment="1">
      <alignment horizontal="center"/>
    </xf>
    <xf numFmtId="2" fontId="19" fillId="0" borderId="75" xfId="48" applyNumberFormat="1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14" fontId="28" fillId="0" borderId="14" xfId="0" applyNumberFormat="1" applyFont="1" applyBorder="1" applyAlignment="1">
      <alignment/>
    </xf>
    <xf numFmtId="14" fontId="20" fillId="0" borderId="22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76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2" fontId="19" fillId="0" borderId="53" xfId="48" applyNumberFormat="1" applyFont="1" applyBorder="1" applyAlignment="1">
      <alignment horizontal="center"/>
    </xf>
    <xf numFmtId="14" fontId="20" fillId="0" borderId="35" xfId="0" applyNumberFormat="1" applyFont="1" applyBorder="1" applyAlignment="1">
      <alignment/>
    </xf>
    <xf numFmtId="0" fontId="19" fillId="35" borderId="0" xfId="0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urrency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0.140625" style="7" bestFit="1" customWidth="1"/>
    <col min="2" max="4" width="13.57421875" style="7" bestFit="1" customWidth="1"/>
    <col min="5" max="5" width="14.140625" style="7" bestFit="1" customWidth="1"/>
    <col min="6" max="6" width="24.57421875" style="7" bestFit="1" customWidth="1"/>
    <col min="7" max="7" width="14.140625" style="7" bestFit="1" customWidth="1"/>
    <col min="8" max="8" width="26.140625" style="7" bestFit="1" customWidth="1"/>
    <col min="9" max="9" width="24.7109375" style="7" bestFit="1" customWidth="1"/>
    <col min="10" max="10" width="3.140625" style="7" customWidth="1"/>
    <col min="11" max="11" width="13.57421875" style="7" bestFit="1" customWidth="1"/>
    <col min="12" max="12" width="15.00390625" style="7" bestFit="1" customWidth="1"/>
    <col min="13" max="13" width="10.7109375" style="7" bestFit="1" customWidth="1"/>
    <col min="14" max="14" width="12.7109375" style="7" customWidth="1"/>
    <col min="15" max="16384" width="9.140625" style="7" customWidth="1"/>
  </cols>
  <sheetData>
    <row r="1" spans="1:12" ht="15.75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6.5" thickBot="1"/>
    <row r="5" spans="1:12" ht="24.75" customHeight="1">
      <c r="A5" s="8" t="s">
        <v>45</v>
      </c>
      <c r="B5" s="9" t="s">
        <v>34</v>
      </c>
      <c r="C5" s="9" t="s">
        <v>6</v>
      </c>
      <c r="D5" s="10" t="s">
        <v>2</v>
      </c>
      <c r="E5" s="11" t="s">
        <v>35</v>
      </c>
      <c r="F5" s="10" t="s">
        <v>36</v>
      </c>
      <c r="G5" s="11" t="s">
        <v>142</v>
      </c>
      <c r="H5" s="10" t="s">
        <v>4</v>
      </c>
      <c r="I5" s="11" t="s">
        <v>143</v>
      </c>
      <c r="J5" s="12"/>
      <c r="K5" s="13" t="s">
        <v>12</v>
      </c>
      <c r="L5" s="11" t="s">
        <v>13</v>
      </c>
    </row>
    <row r="6" spans="1:12" ht="12.75" customHeight="1">
      <c r="A6" s="14"/>
      <c r="B6" s="15"/>
      <c r="C6" s="15"/>
      <c r="D6" s="16"/>
      <c r="E6" s="15"/>
      <c r="F6" s="16"/>
      <c r="G6" s="15"/>
      <c r="H6" s="16"/>
      <c r="I6" s="15"/>
      <c r="J6" s="17"/>
      <c r="K6" s="14"/>
      <c r="L6" s="15"/>
    </row>
    <row r="7" spans="1:12" ht="15.75">
      <c r="A7" s="14"/>
      <c r="B7" s="15"/>
      <c r="C7" s="15"/>
      <c r="D7" s="16"/>
      <c r="E7" s="15"/>
      <c r="F7" s="16"/>
      <c r="G7" s="15"/>
      <c r="H7" s="16"/>
      <c r="I7" s="15"/>
      <c r="J7" s="17"/>
      <c r="K7" s="14"/>
      <c r="L7" s="15"/>
    </row>
    <row r="8" spans="1:12" ht="15.75">
      <c r="A8" s="18" t="s">
        <v>14</v>
      </c>
      <c r="B8" s="19">
        <v>27</v>
      </c>
      <c r="C8" s="19">
        <v>27</v>
      </c>
      <c r="D8" s="20">
        <v>27</v>
      </c>
      <c r="E8" s="19">
        <v>27</v>
      </c>
      <c r="F8" s="20">
        <v>27</v>
      </c>
      <c r="G8" s="19">
        <v>27</v>
      </c>
      <c r="H8" s="20">
        <v>27</v>
      </c>
      <c r="I8" s="19">
        <v>23</v>
      </c>
      <c r="J8" s="21"/>
      <c r="K8" s="22">
        <v>23</v>
      </c>
      <c r="L8" s="23"/>
    </row>
    <row r="9" spans="1:12" ht="15.75">
      <c r="A9" s="18" t="s">
        <v>15</v>
      </c>
      <c r="B9" s="19">
        <v>8</v>
      </c>
      <c r="C9" s="19">
        <v>8</v>
      </c>
      <c r="D9" s="20">
        <v>8</v>
      </c>
      <c r="E9" s="19">
        <v>8</v>
      </c>
      <c r="F9" s="20">
        <v>8</v>
      </c>
      <c r="G9" s="19">
        <v>8</v>
      </c>
      <c r="H9" s="20">
        <v>8</v>
      </c>
      <c r="I9" s="19">
        <v>9</v>
      </c>
      <c r="J9" s="21"/>
      <c r="K9" s="22">
        <v>9</v>
      </c>
      <c r="L9" s="23"/>
    </row>
    <row r="10" spans="1:12" ht="15.75">
      <c r="A10" s="18" t="s">
        <v>38</v>
      </c>
      <c r="B10" s="19">
        <v>15</v>
      </c>
      <c r="C10" s="19">
        <v>10</v>
      </c>
      <c r="D10" s="20">
        <v>6</v>
      </c>
      <c r="E10" s="19"/>
      <c r="F10" s="20"/>
      <c r="G10" s="19"/>
      <c r="H10" s="20"/>
      <c r="I10" s="19"/>
      <c r="J10" s="21"/>
      <c r="K10" s="22"/>
      <c r="L10" s="24"/>
    </row>
    <row r="11" spans="1:12" ht="15.75">
      <c r="A11" s="18" t="s">
        <v>39</v>
      </c>
      <c r="B11" s="19">
        <v>2</v>
      </c>
      <c r="C11" s="19">
        <v>1</v>
      </c>
      <c r="D11" s="20">
        <v>1</v>
      </c>
      <c r="E11" s="19">
        <v>3</v>
      </c>
      <c r="F11" s="20">
        <v>4</v>
      </c>
      <c r="G11" s="19">
        <v>2</v>
      </c>
      <c r="H11" s="20">
        <v>3</v>
      </c>
      <c r="I11" s="19">
        <v>3</v>
      </c>
      <c r="J11" s="21"/>
      <c r="K11" s="22">
        <v>4</v>
      </c>
      <c r="L11" s="24"/>
    </row>
    <row r="12" spans="1:12" ht="15.75">
      <c r="A12" s="18" t="s">
        <v>43</v>
      </c>
      <c r="B12" s="19">
        <f>B10+B11</f>
        <v>17</v>
      </c>
      <c r="C12" s="19">
        <f aca="true" t="shared" si="0" ref="C12:K12">C10+C11</f>
        <v>11</v>
      </c>
      <c r="D12" s="20">
        <f t="shared" si="0"/>
        <v>7</v>
      </c>
      <c r="E12" s="19">
        <f t="shared" si="0"/>
        <v>3</v>
      </c>
      <c r="F12" s="20">
        <f t="shared" si="0"/>
        <v>4</v>
      </c>
      <c r="G12" s="19">
        <f t="shared" si="0"/>
        <v>2</v>
      </c>
      <c r="H12" s="20">
        <f t="shared" si="0"/>
        <v>3</v>
      </c>
      <c r="I12" s="19">
        <f t="shared" si="0"/>
        <v>3</v>
      </c>
      <c r="J12" s="21"/>
      <c r="K12" s="22">
        <f t="shared" si="0"/>
        <v>4</v>
      </c>
      <c r="L12" s="24">
        <f>SUM(B12:K12)</f>
        <v>54</v>
      </c>
    </row>
    <row r="13" spans="1:12" ht="15.75">
      <c r="A13" s="18" t="s">
        <v>16</v>
      </c>
      <c r="B13" s="19">
        <f aca="true" t="shared" si="1" ref="B13:I13">B8*B9</f>
        <v>216</v>
      </c>
      <c r="C13" s="19">
        <f t="shared" si="1"/>
        <v>216</v>
      </c>
      <c r="D13" s="20">
        <f t="shared" si="1"/>
        <v>216</v>
      </c>
      <c r="E13" s="19">
        <f t="shared" si="1"/>
        <v>216</v>
      </c>
      <c r="F13" s="20">
        <f t="shared" si="1"/>
        <v>216</v>
      </c>
      <c r="G13" s="19">
        <f t="shared" si="1"/>
        <v>216</v>
      </c>
      <c r="H13" s="20">
        <f t="shared" si="1"/>
        <v>216</v>
      </c>
      <c r="I13" s="19">
        <f t="shared" si="1"/>
        <v>207</v>
      </c>
      <c r="J13" s="21"/>
      <c r="K13" s="22">
        <f>K8*K9</f>
        <v>207</v>
      </c>
      <c r="L13" s="23"/>
    </row>
    <row r="14" spans="1:12" ht="15.75">
      <c r="A14" s="18" t="s">
        <v>17</v>
      </c>
      <c r="B14" s="24">
        <f>B8*B9*B10</f>
        <v>3240</v>
      </c>
      <c r="C14" s="24">
        <f>C8*C9*C10</f>
        <v>2160</v>
      </c>
      <c r="D14" s="25">
        <f>D8*D9*D10</f>
        <v>1296</v>
      </c>
      <c r="E14" s="24"/>
      <c r="F14" s="25">
        <f>F8*F9*F11</f>
        <v>864</v>
      </c>
      <c r="G14" s="24"/>
      <c r="H14" s="25"/>
      <c r="I14" s="24"/>
      <c r="J14" s="26"/>
      <c r="K14" s="27"/>
      <c r="L14" s="24">
        <f>SUM(B14:K14)</f>
        <v>7560</v>
      </c>
    </row>
    <row r="15" spans="1:12" ht="15.75">
      <c r="A15" s="18" t="s">
        <v>37</v>
      </c>
      <c r="B15" s="28">
        <v>45.66</v>
      </c>
      <c r="C15" s="28">
        <v>45.66</v>
      </c>
      <c r="D15" s="28">
        <v>45.66</v>
      </c>
      <c r="E15" s="24"/>
      <c r="F15" s="25"/>
      <c r="G15" s="24"/>
      <c r="H15" s="25"/>
      <c r="I15" s="24"/>
      <c r="J15" s="26"/>
      <c r="K15" s="27"/>
      <c r="L15" s="24">
        <f>SUM(B15:K15)</f>
        <v>136.98</v>
      </c>
    </row>
    <row r="16" spans="1:12" ht="15.75">
      <c r="A16" s="18" t="s">
        <v>40</v>
      </c>
      <c r="B16" s="19">
        <v>8</v>
      </c>
      <c r="C16" s="19">
        <v>12</v>
      </c>
      <c r="D16" s="20">
        <v>9</v>
      </c>
      <c r="E16" s="19">
        <v>6</v>
      </c>
      <c r="F16" s="20">
        <v>4</v>
      </c>
      <c r="G16" s="19">
        <v>3</v>
      </c>
      <c r="H16" s="20">
        <v>2</v>
      </c>
      <c r="I16" s="19">
        <v>2</v>
      </c>
      <c r="J16" s="21"/>
      <c r="K16" s="22">
        <v>3</v>
      </c>
      <c r="L16" s="23"/>
    </row>
    <row r="17" spans="1:12" ht="15.75">
      <c r="A17" s="18" t="s">
        <v>41</v>
      </c>
      <c r="B17" s="24">
        <f aca="true" t="shared" si="2" ref="B17:I17">B13*B16</f>
        <v>1728</v>
      </c>
      <c r="C17" s="24">
        <f t="shared" si="2"/>
        <v>2592</v>
      </c>
      <c r="D17" s="25">
        <f t="shared" si="2"/>
        <v>1944</v>
      </c>
      <c r="E17" s="24">
        <f t="shared" si="2"/>
        <v>1296</v>
      </c>
      <c r="F17" s="25">
        <f t="shared" si="2"/>
        <v>864</v>
      </c>
      <c r="G17" s="24">
        <f t="shared" si="2"/>
        <v>648</v>
      </c>
      <c r="H17" s="25">
        <f t="shared" si="2"/>
        <v>432</v>
      </c>
      <c r="I17" s="24">
        <f t="shared" si="2"/>
        <v>414</v>
      </c>
      <c r="J17" s="29"/>
      <c r="K17" s="27">
        <f>K13*K16</f>
        <v>621</v>
      </c>
      <c r="L17" s="24">
        <f>SUM(B17:K17)</f>
        <v>10539</v>
      </c>
    </row>
    <row r="18" spans="1:12" ht="15.75">
      <c r="A18" s="18" t="s">
        <v>42</v>
      </c>
      <c r="B18" s="24">
        <v>200</v>
      </c>
      <c r="C18" s="24">
        <v>400</v>
      </c>
      <c r="D18" s="25">
        <v>300</v>
      </c>
      <c r="E18" s="24">
        <v>200</v>
      </c>
      <c r="F18" s="25">
        <v>100</v>
      </c>
      <c r="G18" s="24">
        <v>300</v>
      </c>
      <c r="H18" s="25">
        <v>100</v>
      </c>
      <c r="I18" s="24">
        <v>100</v>
      </c>
      <c r="J18" s="29"/>
      <c r="K18" s="27">
        <v>300</v>
      </c>
      <c r="L18" s="24">
        <f>SUM(B18:K18)</f>
        <v>2000</v>
      </c>
    </row>
    <row r="19" spans="1:12" ht="15.75">
      <c r="A19" s="18" t="s">
        <v>19</v>
      </c>
      <c r="B19" s="30">
        <v>47840.625</v>
      </c>
      <c r="C19" s="30">
        <v>31893.75</v>
      </c>
      <c r="D19" s="31">
        <v>19136.25</v>
      </c>
      <c r="E19" s="32"/>
      <c r="F19" s="33"/>
      <c r="G19" s="32"/>
      <c r="H19" s="33"/>
      <c r="I19" s="32"/>
      <c r="J19" s="26"/>
      <c r="K19" s="34"/>
      <c r="L19" s="30">
        <f>SUM(B19:K19)</f>
        <v>98870.625</v>
      </c>
    </row>
    <row r="20" spans="1:12" ht="15.75">
      <c r="A20" s="18" t="s">
        <v>20</v>
      </c>
      <c r="B20" s="30">
        <v>3750</v>
      </c>
      <c r="C20" s="30">
        <v>2500</v>
      </c>
      <c r="D20" s="31">
        <v>1500</v>
      </c>
      <c r="E20" s="32"/>
      <c r="F20" s="33"/>
      <c r="G20" s="32"/>
      <c r="H20" s="33"/>
      <c r="I20" s="32"/>
      <c r="J20" s="26"/>
      <c r="K20" s="34"/>
      <c r="L20" s="30">
        <f>SUM(B20:K20)</f>
        <v>7750</v>
      </c>
    </row>
    <row r="21" spans="1:14" ht="16.5" thickBot="1">
      <c r="A21" s="18" t="s">
        <v>46</v>
      </c>
      <c r="B21" s="35">
        <v>51590.625</v>
      </c>
      <c r="C21" s="35">
        <v>34393.75</v>
      </c>
      <c r="D21" s="36">
        <v>20636.25</v>
      </c>
      <c r="E21" s="30"/>
      <c r="F21" s="31"/>
      <c r="G21" s="30"/>
      <c r="H21" s="31"/>
      <c r="I21" s="30"/>
      <c r="J21" s="37"/>
      <c r="K21" s="38"/>
      <c r="L21" s="35">
        <f>SUM(L19:L20)</f>
        <v>106620.625</v>
      </c>
      <c r="M21" s="39"/>
      <c r="N21" s="40"/>
    </row>
    <row r="22" spans="1:13" ht="17.25" thickBot="1" thickTop="1">
      <c r="A22" s="18" t="s">
        <v>21</v>
      </c>
      <c r="B22" s="41">
        <f>B21/B14</f>
        <v>15.923032407407407</v>
      </c>
      <c r="C22" s="41">
        <f>C21/C14</f>
        <v>15.923032407407407</v>
      </c>
      <c r="D22" s="42">
        <f>D21/D14</f>
        <v>15.923032407407407</v>
      </c>
      <c r="E22" s="30"/>
      <c r="F22" s="31"/>
      <c r="G22" s="30"/>
      <c r="H22" s="31"/>
      <c r="I22" s="30"/>
      <c r="J22" s="37"/>
      <c r="K22" s="38"/>
      <c r="L22" s="43"/>
      <c r="M22" s="44"/>
    </row>
    <row r="23" spans="1:12" ht="15.75">
      <c r="A23" s="18"/>
      <c r="B23" s="45"/>
      <c r="C23" s="45"/>
      <c r="D23" s="46"/>
      <c r="E23" s="23"/>
      <c r="F23" s="47"/>
      <c r="G23" s="23"/>
      <c r="H23" s="47"/>
      <c r="I23" s="23"/>
      <c r="J23" s="48"/>
      <c r="K23" s="18"/>
      <c r="L23" s="23"/>
    </row>
    <row r="24" spans="1:12" ht="15.75">
      <c r="A24" s="49" t="s">
        <v>22</v>
      </c>
      <c r="B24" s="23"/>
      <c r="C24" s="23"/>
      <c r="D24" s="47"/>
      <c r="E24" s="23"/>
      <c r="F24" s="47"/>
      <c r="G24" s="23"/>
      <c r="H24" s="47"/>
      <c r="I24" s="23"/>
      <c r="J24" s="48"/>
      <c r="K24" s="18"/>
      <c r="L24" s="23"/>
    </row>
    <row r="25" spans="1:12" ht="15.75">
      <c r="A25" s="18" t="s">
        <v>23</v>
      </c>
      <c r="B25" s="50">
        <v>6733.125</v>
      </c>
      <c r="C25" s="50">
        <v>3366.5625</v>
      </c>
      <c r="D25" s="51">
        <v>3366.5625</v>
      </c>
      <c r="E25" s="30">
        <v>10099.6875</v>
      </c>
      <c r="F25" s="31">
        <v>12757.5</v>
      </c>
      <c r="G25" s="30">
        <v>6378.75</v>
      </c>
      <c r="H25" s="31">
        <v>9568.125</v>
      </c>
      <c r="I25" s="30">
        <v>10500</v>
      </c>
      <c r="J25" s="37"/>
      <c r="K25" s="38">
        <v>30000</v>
      </c>
      <c r="L25" s="30">
        <f>SUM(B25:K25)</f>
        <v>92770.3125</v>
      </c>
    </row>
    <row r="26" spans="1:12" ht="15.75">
      <c r="A26" s="18" t="s">
        <v>20</v>
      </c>
      <c r="B26" s="50">
        <v>500</v>
      </c>
      <c r="C26" s="50">
        <v>250</v>
      </c>
      <c r="D26" s="51">
        <v>250</v>
      </c>
      <c r="E26" s="50">
        <v>750</v>
      </c>
      <c r="F26" s="51">
        <v>1000</v>
      </c>
      <c r="G26" s="50">
        <v>500</v>
      </c>
      <c r="H26" s="51">
        <v>750</v>
      </c>
      <c r="I26" s="50">
        <v>750</v>
      </c>
      <c r="J26" s="37"/>
      <c r="K26" s="52">
        <v>1000</v>
      </c>
      <c r="L26" s="30">
        <f aca="true" t="shared" si="3" ref="L26:L36">SUM(B26:K26)</f>
        <v>5750</v>
      </c>
    </row>
    <row r="27" spans="1:13" ht="15.75">
      <c r="A27" s="18" t="s">
        <v>24</v>
      </c>
      <c r="B27" s="30">
        <v>19883.59209905779</v>
      </c>
      <c r="C27" s="30">
        <v>13255.72806603853</v>
      </c>
      <c r="D27" s="31">
        <v>7953.436839623117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7"/>
      <c r="K27" s="38">
        <v>0</v>
      </c>
      <c r="L27" s="30">
        <f t="shared" si="3"/>
        <v>41092.75700471943</v>
      </c>
      <c r="M27" s="53"/>
    </row>
    <row r="28" spans="1:13" ht="15.75">
      <c r="A28" s="18" t="s">
        <v>25</v>
      </c>
      <c r="B28" s="50">
        <v>2798.4314806081334</v>
      </c>
      <c r="C28" s="50">
        <v>1399.2157403040667</v>
      </c>
      <c r="D28" s="51">
        <v>1399.2157403040667</v>
      </c>
      <c r="E28" s="50">
        <v>4197.6472209122</v>
      </c>
      <c r="F28" s="31">
        <v>5302.291226415411</v>
      </c>
      <c r="G28" s="30">
        <v>2651.1456132077055</v>
      </c>
      <c r="H28" s="31">
        <v>3976.7184198115583</v>
      </c>
      <c r="I28" s="30">
        <v>4530.6923607534245</v>
      </c>
      <c r="J28" s="37"/>
      <c r="K28" s="38">
        <v>12944.835316438355</v>
      </c>
      <c r="L28" s="30">
        <f t="shared" si="3"/>
        <v>39200.19311875492</v>
      </c>
      <c r="M28" s="53"/>
    </row>
    <row r="29" spans="1:13" ht="15.75">
      <c r="A29" s="18" t="s">
        <v>26</v>
      </c>
      <c r="B29" s="30">
        <f>Anexos!D11</f>
        <v>41.666666666666664</v>
      </c>
      <c r="C29" s="30">
        <f>Anexos!D12</f>
        <v>41.666666666666664</v>
      </c>
      <c r="D29" s="31">
        <f>Anexos!D13</f>
        <v>33.333333333333336</v>
      </c>
      <c r="E29" s="30">
        <f>Anexos!D14</f>
        <v>16.666666666666668</v>
      </c>
      <c r="F29" s="31">
        <f>Anexos!D15</f>
        <v>16.666666666666668</v>
      </c>
      <c r="G29" s="30">
        <f>Anexos!D16</f>
        <v>66.66666666666667</v>
      </c>
      <c r="H29" s="31">
        <f>Anexos!D17</f>
        <v>16.666666666666668</v>
      </c>
      <c r="I29" s="30">
        <f>Anexos!D18</f>
        <v>83.33333333333333</v>
      </c>
      <c r="J29" s="37"/>
      <c r="K29" s="38">
        <f>Anexos!D19</f>
        <v>100</v>
      </c>
      <c r="L29" s="30">
        <f>SUM(B29:K29)</f>
        <v>416.66666666666663</v>
      </c>
      <c r="M29" s="53" t="str">
        <f>Anexos!A4</f>
        <v>Anexo 01</v>
      </c>
    </row>
    <row r="30" spans="1:13" ht="15.75">
      <c r="A30" s="18" t="s">
        <v>27</v>
      </c>
      <c r="B30" s="30">
        <f>Anexos!D30</f>
        <v>1250</v>
      </c>
      <c r="C30" s="30">
        <f>Anexos!D31</f>
        <v>833.3333333333334</v>
      </c>
      <c r="D30" s="31">
        <f>Anexos!D32</f>
        <v>541.6666666666666</v>
      </c>
      <c r="E30" s="30">
        <f>Anexos!D33</f>
        <v>83.33333333333333</v>
      </c>
      <c r="F30" s="31">
        <f>Anexos!D34</f>
        <v>125</v>
      </c>
      <c r="G30" s="30">
        <v>0</v>
      </c>
      <c r="H30" s="31">
        <v>0</v>
      </c>
      <c r="I30" s="30">
        <v>0</v>
      </c>
      <c r="J30" s="37"/>
      <c r="K30" s="38">
        <v>0</v>
      </c>
      <c r="L30" s="30">
        <f>SUM(B30:K30)</f>
        <v>2833.3333333333335</v>
      </c>
      <c r="M30" s="53" t="str">
        <f>Anexos!A23</f>
        <v>Anexo 02</v>
      </c>
    </row>
    <row r="31" spans="1:13" ht="15.75">
      <c r="A31" s="18" t="s">
        <v>94</v>
      </c>
      <c r="B31" s="30">
        <f>Anexos!E45</f>
        <v>104.16666666666667</v>
      </c>
      <c r="C31" s="30">
        <f>Anexos!E46</f>
        <v>208.33333333333334</v>
      </c>
      <c r="D31" s="31">
        <f>Anexos!E47</f>
        <v>156.25</v>
      </c>
      <c r="E31" s="30">
        <f>Anexos!E48</f>
        <v>104.16666666666667</v>
      </c>
      <c r="F31" s="31">
        <f>Anexos!E49</f>
        <v>52.083333333333336</v>
      </c>
      <c r="G31" s="30">
        <f>Anexos!E50</f>
        <v>156.25</v>
      </c>
      <c r="H31" s="31">
        <f>Anexos!E51</f>
        <v>52.083333333333336</v>
      </c>
      <c r="I31" s="30">
        <f>Anexos!E52</f>
        <v>52.083333333333336</v>
      </c>
      <c r="J31" s="37"/>
      <c r="K31" s="38">
        <f>Anexos!E53</f>
        <v>156.25</v>
      </c>
      <c r="L31" s="30">
        <f>SUM(B31:K31)</f>
        <v>1041.6666666666667</v>
      </c>
      <c r="M31" s="53" t="str">
        <f>Anexos!A38</f>
        <v>Anexo 03</v>
      </c>
    </row>
    <row r="32" spans="1:13" ht="15.75">
      <c r="A32" s="18" t="s">
        <v>93</v>
      </c>
      <c r="B32" s="30"/>
      <c r="C32" s="30"/>
      <c r="D32" s="31"/>
      <c r="E32" s="30"/>
      <c r="F32" s="31"/>
      <c r="G32" s="30"/>
      <c r="H32" s="31"/>
      <c r="I32" s="30"/>
      <c r="J32" s="37"/>
      <c r="K32" s="38">
        <f>Anexos!C60</f>
        <v>1111</v>
      </c>
      <c r="L32" s="30">
        <f>SUM(B32:K32)</f>
        <v>1111</v>
      </c>
      <c r="M32" s="53" t="str">
        <f>Anexos!A57</f>
        <v>Anexo 04</v>
      </c>
    </row>
    <row r="33" spans="1:13" ht="15.75">
      <c r="A33" s="18" t="s">
        <v>28</v>
      </c>
      <c r="B33" s="30">
        <f>Anexos!D71</f>
        <v>2408.783701354154</v>
      </c>
      <c r="C33" s="30">
        <f>Anexos!D72</f>
        <v>3613.175552031231</v>
      </c>
      <c r="D33" s="31">
        <f>Anexos!D73</f>
        <v>2709.881664023423</v>
      </c>
      <c r="E33" s="30">
        <f>Anexos!D74</f>
        <v>1806.5877760156154</v>
      </c>
      <c r="F33" s="31">
        <f>Anexos!D75</f>
        <v>1204.391850677077</v>
      </c>
      <c r="G33" s="30">
        <f>Anexos!D76</f>
        <v>903.2938880078077</v>
      </c>
      <c r="H33" s="31">
        <f>Anexos!D77</f>
        <v>602.1959253385385</v>
      </c>
      <c r="I33" s="30">
        <f>Anexos!D78</f>
        <v>577.1044284494327</v>
      </c>
      <c r="J33" s="37"/>
      <c r="K33" s="38">
        <f>Anexos!D79</f>
        <v>865.656642674149</v>
      </c>
      <c r="L33" s="54">
        <f t="shared" si="3"/>
        <v>14691.071428571426</v>
      </c>
      <c r="M33" s="53" t="str">
        <f>Anexos!A64</f>
        <v>Anexo 05</v>
      </c>
    </row>
    <row r="34" spans="1:13" ht="15.75">
      <c r="A34" s="18" t="s">
        <v>76</v>
      </c>
      <c r="B34" s="30">
        <f>Anexos!H90</f>
        <v>952.9411764705882</v>
      </c>
      <c r="C34" s="30">
        <f>Anexos!H91</f>
        <v>820.5882352941176</v>
      </c>
      <c r="D34" s="31">
        <f>Anexos!H92</f>
        <v>563.8235294117646</v>
      </c>
      <c r="E34" s="30">
        <f>Anexos!H93</f>
        <v>195.88235294117646</v>
      </c>
      <c r="F34" s="31">
        <f>Anexos!H94</f>
        <v>156.17647058823528</v>
      </c>
      <c r="G34" s="30">
        <f>Anexos!H95</f>
        <v>240.88235294117646</v>
      </c>
      <c r="H34" s="31">
        <f>Anexos!H96</f>
        <v>76.76470588235294</v>
      </c>
      <c r="I34" s="30">
        <f>Anexos!H97</f>
        <v>119.11764705882352</v>
      </c>
      <c r="J34" s="37"/>
      <c r="K34" s="38">
        <f>Anexos!H98</f>
        <v>473.8235294117647</v>
      </c>
      <c r="L34" s="54">
        <f t="shared" si="3"/>
        <v>3600</v>
      </c>
      <c r="M34" s="53" t="str">
        <f>Anexos!A83</f>
        <v>Anexo 06</v>
      </c>
    </row>
    <row r="35" spans="1:13" ht="15.75">
      <c r="A35" s="18" t="s">
        <v>29</v>
      </c>
      <c r="B35" s="30">
        <f>Anexos!C107</f>
        <v>799.9999999999999</v>
      </c>
      <c r="C35" s="30">
        <f>Anexos!C108</f>
        <v>399.99999999999994</v>
      </c>
      <c r="D35" s="31">
        <v>0</v>
      </c>
      <c r="E35" s="55">
        <v>0</v>
      </c>
      <c r="F35" s="31">
        <f>Anexos!C109</f>
        <v>399.99999999999994</v>
      </c>
      <c r="G35" s="30">
        <v>0</v>
      </c>
      <c r="H35" s="31">
        <v>0</v>
      </c>
      <c r="I35" s="30">
        <v>0</v>
      </c>
      <c r="J35" s="37"/>
      <c r="K35" s="31">
        <v>0</v>
      </c>
      <c r="L35" s="54">
        <f t="shared" si="3"/>
        <v>1599.9999999999998</v>
      </c>
      <c r="M35" s="53" t="str">
        <f>Anexos!A102</f>
        <v>Anexo 07</v>
      </c>
    </row>
    <row r="36" spans="1:12" ht="16.5" thickBot="1">
      <c r="A36" s="18" t="s">
        <v>84</v>
      </c>
      <c r="B36" s="30">
        <v>1611.06</v>
      </c>
      <c r="C36" s="30">
        <v>1644.15</v>
      </c>
      <c r="D36" s="31">
        <v>935.57</v>
      </c>
      <c r="E36" s="30">
        <v>571.54</v>
      </c>
      <c r="F36" s="31">
        <v>555.06</v>
      </c>
      <c r="G36" s="30">
        <v>411.27</v>
      </c>
      <c r="H36" s="31">
        <v>644.68</v>
      </c>
      <c r="I36" s="30">
        <v>0</v>
      </c>
      <c r="J36" s="37"/>
      <c r="K36" s="31">
        <v>0</v>
      </c>
      <c r="L36" s="54">
        <f t="shared" si="3"/>
        <v>6373.33</v>
      </c>
    </row>
    <row r="37" spans="1:14" ht="16.5" thickBot="1">
      <c r="A37" s="56" t="s">
        <v>107</v>
      </c>
      <c r="B37" s="57">
        <f aca="true" t="shared" si="4" ref="B37:I37">SUM(B25:B36)</f>
        <v>37083.766790824</v>
      </c>
      <c r="C37" s="57">
        <f t="shared" si="4"/>
        <v>25832.753427001277</v>
      </c>
      <c r="D37" s="58">
        <f t="shared" si="4"/>
        <v>17909.74027336237</v>
      </c>
      <c r="E37" s="57">
        <f t="shared" si="4"/>
        <v>17825.51151653566</v>
      </c>
      <c r="F37" s="58">
        <f t="shared" si="4"/>
        <v>21569.16954768072</v>
      </c>
      <c r="G37" s="57">
        <f t="shared" si="4"/>
        <v>11308.258520823356</v>
      </c>
      <c r="H37" s="58">
        <f t="shared" si="4"/>
        <v>15687.23405103245</v>
      </c>
      <c r="I37" s="57">
        <f t="shared" si="4"/>
        <v>16612.33110292835</v>
      </c>
      <c r="J37" s="59"/>
      <c r="K37" s="60">
        <f>SUM(K25:K36)</f>
        <v>46651.56548852427</v>
      </c>
      <c r="L37" s="57">
        <f>SUM(L25:L36)</f>
        <v>210480.33071871242</v>
      </c>
      <c r="M37" s="39"/>
      <c r="N37" s="40"/>
    </row>
    <row r="38" spans="1:12" ht="15.75">
      <c r="A38" s="18"/>
      <c r="B38" s="43"/>
      <c r="C38" s="43"/>
      <c r="D38" s="61"/>
      <c r="E38" s="43"/>
      <c r="F38" s="61"/>
      <c r="G38" s="43"/>
      <c r="H38" s="61"/>
      <c r="I38" s="43"/>
      <c r="J38" s="62"/>
      <c r="K38" s="63"/>
      <c r="L38" s="43"/>
    </row>
    <row r="39" spans="1:12" ht="15.75">
      <c r="A39" s="49" t="s">
        <v>30</v>
      </c>
      <c r="B39" s="30"/>
      <c r="C39" s="30"/>
      <c r="D39" s="31"/>
      <c r="E39" s="30"/>
      <c r="F39" s="31"/>
      <c r="G39" s="30"/>
      <c r="H39" s="31"/>
      <c r="I39" s="30"/>
      <c r="J39" s="37"/>
      <c r="K39" s="38"/>
      <c r="L39" s="30"/>
    </row>
    <row r="40" spans="1:13" ht="15.75">
      <c r="A40" s="18" t="s">
        <v>85</v>
      </c>
      <c r="B40" s="32" t="s">
        <v>18</v>
      </c>
      <c r="C40" s="32" t="s">
        <v>18</v>
      </c>
      <c r="D40" s="33" t="s">
        <v>18</v>
      </c>
      <c r="E40" s="64">
        <v>3</v>
      </c>
      <c r="F40" s="65">
        <v>4</v>
      </c>
      <c r="G40" s="64">
        <v>3</v>
      </c>
      <c r="H40" s="65">
        <v>8</v>
      </c>
      <c r="I40" s="64">
        <v>8</v>
      </c>
      <c r="J40" s="21"/>
      <c r="K40" s="34" t="s">
        <v>18</v>
      </c>
      <c r="L40" s="32" t="s">
        <v>18</v>
      </c>
      <c r="M40" s="53"/>
    </row>
    <row r="41" spans="1:13" ht="15.75">
      <c r="A41" s="18" t="s">
        <v>31</v>
      </c>
      <c r="B41" s="32" t="s">
        <v>18</v>
      </c>
      <c r="C41" s="32" t="s">
        <v>18</v>
      </c>
      <c r="D41" s="33" t="s">
        <v>18</v>
      </c>
      <c r="E41" s="64">
        <v>4</v>
      </c>
      <c r="F41" s="65">
        <v>3</v>
      </c>
      <c r="G41" s="64">
        <v>5</v>
      </c>
      <c r="H41" s="65">
        <v>2</v>
      </c>
      <c r="I41" s="64">
        <v>1</v>
      </c>
      <c r="J41" s="66"/>
      <c r="K41" s="34" t="s">
        <v>18</v>
      </c>
      <c r="L41" s="32" t="s">
        <v>18</v>
      </c>
      <c r="M41" s="53"/>
    </row>
    <row r="42" spans="1:13" ht="15.75">
      <c r="A42" s="18" t="s">
        <v>5</v>
      </c>
      <c r="B42" s="30">
        <f>Anexos!D121</f>
        <v>5537.443700976117</v>
      </c>
      <c r="C42" s="30">
        <f>Anexos!D122</f>
        <v>3583.051806513958</v>
      </c>
      <c r="D42" s="31">
        <f>Anexos!D123</f>
        <v>2280.123876872519</v>
      </c>
      <c r="E42" s="30">
        <f>Anexos!D124</f>
        <v>977.1959472310795</v>
      </c>
      <c r="F42" s="31">
        <f>Anexos!D125</f>
        <v>1302.9279296414393</v>
      </c>
      <c r="G42" s="30">
        <f>Anexos!D126</f>
        <v>651.4639648207196</v>
      </c>
      <c r="H42" s="31">
        <f>Anexos!D127</f>
        <v>977.1959472310795</v>
      </c>
      <c r="I42" s="30">
        <f>-I37</f>
        <v>-16612.33110292835</v>
      </c>
      <c r="J42" s="37"/>
      <c r="K42" s="38">
        <f>Anexos!D128</f>
        <v>1302.9279296414393</v>
      </c>
      <c r="L42" s="30">
        <f>SUM(B42:K42)</f>
        <v>0</v>
      </c>
      <c r="M42" s="53" t="str">
        <f>Anexos!A115</f>
        <v>Anexo 01</v>
      </c>
    </row>
    <row r="43" spans="1:13" ht="15.75">
      <c r="A43" s="18" t="s">
        <v>4</v>
      </c>
      <c r="B43" s="30">
        <f>Anexos!D138</f>
        <v>1851.6033331403926</v>
      </c>
      <c r="C43" s="30">
        <f>Anexos!D139</f>
        <v>3703.206666280785</v>
      </c>
      <c r="D43" s="31">
        <f>Anexos!D140</f>
        <v>2777.4049997105885</v>
      </c>
      <c r="E43" s="30">
        <f>Anexos!D141</f>
        <v>1851.6033331403926</v>
      </c>
      <c r="F43" s="31">
        <f>Anexos!D142</f>
        <v>925.8016665701963</v>
      </c>
      <c r="G43" s="30">
        <f>Anexos!D143</f>
        <v>2777.4049997105885</v>
      </c>
      <c r="H43" s="31">
        <f>-H37-H42</f>
        <v>-16664.42999826353</v>
      </c>
      <c r="I43" s="30">
        <v>0</v>
      </c>
      <c r="J43" s="37"/>
      <c r="K43" s="31">
        <f>Anexos!D144</f>
        <v>2777.4049997105885</v>
      </c>
      <c r="L43" s="30">
        <f>SUM(B43:K43)</f>
        <v>0</v>
      </c>
      <c r="M43" s="53" t="str">
        <f>Anexos!A132</f>
        <v>Anexo 02</v>
      </c>
    </row>
    <row r="44" spans="1:13" s="72" customFormat="1" ht="15.75">
      <c r="A44" s="67" t="s">
        <v>7</v>
      </c>
      <c r="B44" s="68">
        <v>8970.118618373168</v>
      </c>
      <c r="C44" s="68">
        <v>7785.7324359647655</v>
      </c>
      <c r="D44" s="69">
        <v>6215.732145221702</v>
      </c>
      <c r="E44" s="68">
        <v>826.3159424962624</v>
      </c>
      <c r="F44" s="69">
        <v>-23797.89914389236</v>
      </c>
      <c r="G44" s="68">
        <v>0</v>
      </c>
      <c r="H44" s="69">
        <v>0</v>
      </c>
      <c r="I44" s="68">
        <v>0</v>
      </c>
      <c r="J44" s="70"/>
      <c r="K44" s="69">
        <v>0</v>
      </c>
      <c r="L44" s="68">
        <v>-1.8364589777775109E-06</v>
      </c>
      <c r="M44" s="71" t="str">
        <f>Anexos!A148</f>
        <v>Anexo 03</v>
      </c>
    </row>
    <row r="45" spans="1:13" s="72" customFormat="1" ht="15.75">
      <c r="A45" s="67" t="s">
        <v>3</v>
      </c>
      <c r="B45" s="68">
        <v>7537.062013825752</v>
      </c>
      <c r="C45" s="68">
        <v>7160.208913134465</v>
      </c>
      <c r="D45" s="69">
        <v>6783.355812443177</v>
      </c>
      <c r="E45" s="68">
        <v>-21480.626739403393</v>
      </c>
      <c r="F45" s="69">
        <v>0</v>
      </c>
      <c r="G45" s="68">
        <v>0</v>
      </c>
      <c r="H45" s="69">
        <v>0</v>
      </c>
      <c r="I45" s="68">
        <v>0</v>
      </c>
      <c r="J45" s="70"/>
      <c r="K45" s="69">
        <v>0</v>
      </c>
      <c r="L45" s="68">
        <v>0</v>
      </c>
      <c r="M45" s="71" t="str">
        <f>Anexos!A161</f>
        <v>Anexo 04</v>
      </c>
    </row>
    <row r="46" spans="1:13" s="72" customFormat="1" ht="16.5" thickBot="1">
      <c r="A46" s="67" t="s">
        <v>11</v>
      </c>
      <c r="B46" s="68">
        <v>6392.341707930648</v>
      </c>
      <c r="C46" s="68">
        <v>6992.851880673375</v>
      </c>
      <c r="D46" s="69">
        <v>1351.9338967506412</v>
      </c>
      <c r="E46" s="68"/>
      <c r="F46" s="69"/>
      <c r="G46" s="68">
        <v>-14737.127485354664</v>
      </c>
      <c r="H46" s="69">
        <v>0</v>
      </c>
      <c r="I46" s="68">
        <v>0</v>
      </c>
      <c r="J46" s="70"/>
      <c r="K46" s="69">
        <v>0</v>
      </c>
      <c r="L46" s="73">
        <v>0</v>
      </c>
      <c r="M46" s="71" t="str">
        <f>Anexos!A173</f>
        <v>Anexo 05</v>
      </c>
    </row>
    <row r="47" spans="1:14" s="72" customFormat="1" ht="16.5" thickBot="1">
      <c r="A47" s="74" t="s">
        <v>106</v>
      </c>
      <c r="B47" s="75">
        <v>67372.33616507007</v>
      </c>
      <c r="C47" s="75">
        <v>55057.805129568624</v>
      </c>
      <c r="D47" s="75">
        <v>37318.291004361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/>
      <c r="K47" s="75">
        <v>50731.8984178763</v>
      </c>
      <c r="L47" s="76">
        <v>210480.330716876</v>
      </c>
      <c r="M47" s="77"/>
      <c r="N47" s="78"/>
    </row>
    <row r="48" spans="2:12" s="72" customFormat="1" ht="15.75">
      <c r="B48" s="79"/>
      <c r="C48" s="77"/>
      <c r="D48" s="79"/>
      <c r="E48" s="77"/>
      <c r="F48" s="77"/>
      <c r="G48" s="77"/>
      <c r="H48" s="77"/>
      <c r="I48" s="77"/>
      <c r="J48" s="77"/>
      <c r="K48" s="77"/>
      <c r="L48" s="77"/>
    </row>
    <row r="49" spans="1:12" s="72" customFormat="1" ht="16.5" thickBot="1">
      <c r="A49" s="2" t="s">
        <v>32</v>
      </c>
      <c r="B49" s="3">
        <v>20.793930915145083</v>
      </c>
      <c r="C49" s="4">
        <v>25.489724597022512</v>
      </c>
      <c r="D49" s="3">
        <v>28.794977626821762</v>
      </c>
      <c r="E49" s="77"/>
      <c r="F49" s="77"/>
      <c r="G49" s="77"/>
      <c r="H49" s="77"/>
      <c r="I49" s="77"/>
      <c r="J49" s="77"/>
      <c r="K49" s="77"/>
      <c r="L49" s="77"/>
    </row>
    <row r="50" spans="1:12" s="72" customFormat="1" ht="16.5" thickTop="1">
      <c r="A50" s="2"/>
      <c r="B50" s="80"/>
      <c r="C50" s="81"/>
      <c r="D50" s="80"/>
      <c r="E50" s="77"/>
      <c r="F50" s="77"/>
      <c r="G50" s="77"/>
      <c r="H50" s="77"/>
      <c r="I50" s="77"/>
      <c r="J50" s="77"/>
      <c r="K50" s="77"/>
      <c r="L50" s="77"/>
    </row>
    <row r="51" spans="1:12" s="72" customFormat="1" ht="16.5" thickBot="1">
      <c r="A51" s="2" t="s">
        <v>33</v>
      </c>
      <c r="B51" s="5">
        <v>36.71696332255249</v>
      </c>
      <c r="C51" s="6">
        <v>41.41275700442992</v>
      </c>
      <c r="D51" s="5">
        <v>44.71801003422917</v>
      </c>
      <c r="E51" s="77"/>
      <c r="F51" s="77"/>
      <c r="G51" s="77"/>
      <c r="H51" s="77"/>
      <c r="I51" s="77"/>
      <c r="J51" s="77"/>
      <c r="K51" s="77"/>
      <c r="L51" s="77"/>
    </row>
    <row r="52" spans="2:12" ht="16.5" thickTop="1">
      <c r="B52" s="82"/>
      <c r="C52" s="82"/>
      <c r="D52" s="82"/>
      <c r="E52" s="39"/>
      <c r="F52" s="39"/>
      <c r="G52" s="39"/>
      <c r="H52" s="39"/>
      <c r="I52" s="39"/>
      <c r="J52" s="39"/>
      <c r="K52" s="39"/>
      <c r="L52" s="39"/>
    </row>
    <row r="53" spans="2:12" ht="15.75">
      <c r="B53" s="82"/>
      <c r="C53" s="82"/>
      <c r="D53" s="82"/>
      <c r="E53" s="39"/>
      <c r="F53" s="39"/>
      <c r="G53" s="39"/>
      <c r="H53" s="39"/>
      <c r="I53" s="39"/>
      <c r="J53" s="39"/>
      <c r="K53" s="39"/>
      <c r="L53" s="39"/>
    </row>
    <row r="54" spans="2:12" ht="15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2:12" ht="15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2:12" ht="15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2:12" ht="15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2:12" ht="15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2:12" ht="15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2:12" ht="15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2:12" ht="15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2:12" ht="15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2:12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2:12" ht="15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2:12" ht="15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2:12" ht="15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</sheetData>
  <sheetProtection/>
  <mergeCells count="3">
    <mergeCell ref="A1:L1"/>
    <mergeCell ref="A2:L2"/>
    <mergeCell ref="A3:L3"/>
  </mergeCells>
  <printOptions/>
  <pageMargins left="0.56" right="0.53" top="0.57" bottom="0.52" header="0" footer="0"/>
  <pageSetup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69">
      <selection activeCell="A94" sqref="A1:IV16384"/>
    </sheetView>
  </sheetViews>
  <sheetFormatPr defaultColWidth="11.421875" defaultRowHeight="12.75"/>
  <cols>
    <col min="1" max="1" width="4.140625" style="7" bestFit="1" customWidth="1"/>
    <col min="2" max="2" width="62.7109375" style="7" bestFit="1" customWidth="1"/>
    <col min="3" max="4" width="14.28125" style="7" bestFit="1" customWidth="1"/>
    <col min="5" max="16384" width="11.421875" style="7" customWidth="1"/>
  </cols>
  <sheetData>
    <row r="1" spans="1:4" ht="15.75">
      <c r="A1" s="83" t="str">
        <f>+'GTOS. FAB.'!A1:L1</f>
        <v>PERFUME DE ROSAS</v>
      </c>
      <c r="B1" s="83"/>
      <c r="C1" s="83"/>
      <c r="D1" s="83"/>
    </row>
    <row r="2" spans="1:4" ht="15.75">
      <c r="A2" s="83" t="s">
        <v>110</v>
      </c>
      <c r="B2" s="83"/>
      <c r="C2" s="83"/>
      <c r="D2" s="83"/>
    </row>
    <row r="4" spans="1:4" ht="15.75">
      <c r="A4" s="84" t="s">
        <v>134</v>
      </c>
      <c r="B4" s="84"/>
      <c r="C4" s="84"/>
      <c r="D4" s="84"/>
    </row>
    <row r="5" spans="3:4" ht="15.75">
      <c r="C5" s="85" t="s">
        <v>0</v>
      </c>
      <c r="D5" s="85" t="s">
        <v>1</v>
      </c>
    </row>
    <row r="6" spans="1:2" ht="15.75">
      <c r="A6" s="86" t="s">
        <v>10</v>
      </c>
      <c r="B6" s="87" t="s">
        <v>8</v>
      </c>
    </row>
    <row r="7" spans="1:2" ht="15.75">
      <c r="A7" s="86"/>
      <c r="B7" s="88" t="s">
        <v>136</v>
      </c>
    </row>
    <row r="8" spans="1:2" ht="15.75">
      <c r="A8" s="86"/>
      <c r="B8" s="88" t="s">
        <v>111</v>
      </c>
    </row>
    <row r="9" spans="1:3" ht="15.75">
      <c r="A9" s="86"/>
      <c r="B9" s="16" t="s">
        <v>51</v>
      </c>
      <c r="C9" s="40">
        <f>Anexos!D11</f>
        <v>41.666666666666664</v>
      </c>
    </row>
    <row r="10" spans="1:3" ht="15.75">
      <c r="A10" s="86"/>
      <c r="B10" s="16" t="s">
        <v>79</v>
      </c>
      <c r="C10" s="40">
        <f>Anexos!D12</f>
        <v>41.666666666666664</v>
      </c>
    </row>
    <row r="11" spans="1:3" ht="15.75">
      <c r="A11" s="86"/>
      <c r="B11" s="16" t="s">
        <v>53</v>
      </c>
      <c r="C11" s="40">
        <f>Anexos!D13</f>
        <v>33.333333333333336</v>
      </c>
    </row>
    <row r="12" spans="2:4" ht="15.75">
      <c r="B12" s="16" t="s">
        <v>61</v>
      </c>
      <c r="C12" s="40">
        <f>Anexos!D14</f>
        <v>16.666666666666668</v>
      </c>
      <c r="D12" s="89"/>
    </row>
    <row r="13" spans="2:4" ht="15.75">
      <c r="B13" s="16" t="s">
        <v>80</v>
      </c>
      <c r="C13" s="40">
        <f>Anexos!D15</f>
        <v>16.666666666666668</v>
      </c>
      <c r="D13" s="89"/>
    </row>
    <row r="14" spans="2:4" ht="15.75">
      <c r="B14" s="16" t="s">
        <v>100</v>
      </c>
      <c r="C14" s="40">
        <f>Anexos!D16</f>
        <v>66.66666666666667</v>
      </c>
      <c r="D14" s="89"/>
    </row>
    <row r="15" spans="2:4" ht="15.75">
      <c r="B15" s="16" t="s">
        <v>62</v>
      </c>
      <c r="C15" s="40">
        <f>Anexos!D17</f>
        <v>16.666666666666668</v>
      </c>
      <c r="D15" s="89"/>
    </row>
    <row r="16" spans="2:4" ht="15.75">
      <c r="B16" s="16" t="s">
        <v>101</v>
      </c>
      <c r="C16" s="40">
        <f>Anexos!D18</f>
        <v>83.33333333333333</v>
      </c>
      <c r="D16" s="89"/>
    </row>
    <row r="17" spans="2:4" ht="15.75">
      <c r="B17" s="88" t="s">
        <v>114</v>
      </c>
      <c r="C17" s="40"/>
      <c r="D17" s="89"/>
    </row>
    <row r="18" spans="2:4" ht="15.75">
      <c r="B18" s="88" t="s">
        <v>111</v>
      </c>
      <c r="C18" s="40"/>
      <c r="D18" s="89"/>
    </row>
    <row r="19" spans="2:4" ht="15.75">
      <c r="B19" s="16" t="s">
        <v>83</v>
      </c>
      <c r="C19" s="40">
        <f>Anexos!D19</f>
        <v>100</v>
      </c>
      <c r="D19" s="89"/>
    </row>
    <row r="20" spans="2:4" ht="15.75">
      <c r="B20" s="16" t="s">
        <v>214</v>
      </c>
      <c r="C20" s="89"/>
      <c r="D20" s="89"/>
    </row>
    <row r="21" spans="2:4" ht="15.75">
      <c r="B21" s="16" t="s">
        <v>112</v>
      </c>
      <c r="C21" s="89"/>
      <c r="D21" s="89">
        <f>Anexos!D20</f>
        <v>416.66666666666663</v>
      </c>
    </row>
    <row r="22" spans="2:4" ht="16.5" thickBot="1">
      <c r="B22" s="16" t="s">
        <v>113</v>
      </c>
      <c r="C22" s="90">
        <f>SUM(C9:C19)</f>
        <v>416.66666666666663</v>
      </c>
      <c r="D22" s="90">
        <f>SUM(D21:D21)</f>
        <v>416.66666666666663</v>
      </c>
    </row>
    <row r="23" spans="2:3" ht="16.5" thickTop="1">
      <c r="B23" s="16"/>
      <c r="C23" s="89"/>
    </row>
    <row r="24" spans="1:8" ht="15.75">
      <c r="A24" s="86" t="s">
        <v>10</v>
      </c>
      <c r="B24" s="87" t="s">
        <v>8</v>
      </c>
      <c r="G24" s="91"/>
      <c r="H24" s="91"/>
    </row>
    <row r="25" spans="1:8" ht="15.75">
      <c r="A25" s="86"/>
      <c r="B25" s="88" t="s">
        <v>136</v>
      </c>
      <c r="G25" s="91"/>
      <c r="H25" s="91"/>
    </row>
    <row r="26" spans="1:8" ht="15.75">
      <c r="A26" s="86"/>
      <c r="B26" s="88" t="s">
        <v>115</v>
      </c>
      <c r="G26" s="91"/>
      <c r="H26" s="91"/>
    </row>
    <row r="27" spans="1:8" ht="15.75">
      <c r="A27" s="86"/>
      <c r="B27" s="16" t="s">
        <v>51</v>
      </c>
      <c r="C27" s="40">
        <f>Anexos!D30</f>
        <v>1250</v>
      </c>
      <c r="G27" s="91"/>
      <c r="H27" s="91"/>
    </row>
    <row r="28" spans="1:8" ht="15.75">
      <c r="A28" s="86"/>
      <c r="B28" s="16" t="s">
        <v>79</v>
      </c>
      <c r="C28" s="40">
        <f>Anexos!D31</f>
        <v>833.3333333333334</v>
      </c>
      <c r="G28" s="91"/>
      <c r="H28" s="91"/>
    </row>
    <row r="29" spans="1:8" ht="15.75">
      <c r="A29" s="86"/>
      <c r="B29" s="16" t="s">
        <v>53</v>
      </c>
      <c r="C29" s="40">
        <f>Anexos!D32</f>
        <v>541.6666666666666</v>
      </c>
      <c r="G29" s="91"/>
      <c r="H29" s="91"/>
    </row>
    <row r="30" spans="2:8" ht="15.75">
      <c r="B30" s="16" t="s">
        <v>61</v>
      </c>
      <c r="C30" s="40">
        <f>Anexos!D33</f>
        <v>83.33333333333333</v>
      </c>
      <c r="D30" s="89"/>
      <c r="G30" s="91"/>
      <c r="H30" s="91"/>
    </row>
    <row r="31" spans="2:8" ht="15.75">
      <c r="B31" s="16" t="s">
        <v>80</v>
      </c>
      <c r="C31" s="40">
        <f>Anexos!D34</f>
        <v>125</v>
      </c>
      <c r="D31" s="89"/>
      <c r="G31" s="91"/>
      <c r="H31" s="91"/>
    </row>
    <row r="32" spans="2:8" ht="15.75">
      <c r="B32" s="16" t="s">
        <v>214</v>
      </c>
      <c r="C32" s="89"/>
      <c r="D32" s="89"/>
      <c r="G32" s="91"/>
      <c r="H32" s="91"/>
    </row>
    <row r="33" spans="2:8" ht="15.75">
      <c r="B33" s="16" t="s">
        <v>116</v>
      </c>
      <c r="C33" s="89"/>
      <c r="D33" s="89">
        <f>Anexos!D35</f>
        <v>2833.3333333333335</v>
      </c>
      <c r="G33" s="91"/>
      <c r="H33" s="91"/>
    </row>
    <row r="34" spans="2:8" ht="16.5" thickBot="1">
      <c r="B34" s="16" t="s">
        <v>125</v>
      </c>
      <c r="C34" s="90">
        <f>SUM(C27:C31)</f>
        <v>2833.3333333333335</v>
      </c>
      <c r="D34" s="90">
        <f>SUM(D33:D33)</f>
        <v>2833.3333333333335</v>
      </c>
      <c r="G34" s="91"/>
      <c r="H34" s="91"/>
    </row>
    <row r="35" spans="7:8" ht="16.5" thickTop="1">
      <c r="G35" s="91"/>
      <c r="H35" s="91"/>
    </row>
    <row r="36" spans="1:8" ht="15.75">
      <c r="A36" s="86" t="s">
        <v>10</v>
      </c>
      <c r="B36" s="87" t="s">
        <v>8</v>
      </c>
      <c r="G36" s="91"/>
      <c r="H36" s="91"/>
    </row>
    <row r="37" spans="1:8" ht="15.75">
      <c r="A37" s="86"/>
      <c r="B37" s="88" t="s">
        <v>136</v>
      </c>
      <c r="G37" s="91"/>
      <c r="H37" s="91"/>
    </row>
    <row r="38" spans="1:8" ht="15.75">
      <c r="A38" s="86"/>
      <c r="B38" s="88" t="s">
        <v>117</v>
      </c>
      <c r="G38" s="91"/>
      <c r="H38" s="91"/>
    </row>
    <row r="39" spans="1:8" ht="15.75">
      <c r="A39" s="86"/>
      <c r="B39" s="16" t="s">
        <v>51</v>
      </c>
      <c r="C39" s="40">
        <f>Anexos!E45</f>
        <v>104.16666666666667</v>
      </c>
      <c r="G39" s="91"/>
      <c r="H39" s="91"/>
    </row>
    <row r="40" spans="1:8" ht="15.75">
      <c r="A40" s="86"/>
      <c r="B40" s="16" t="s">
        <v>79</v>
      </c>
      <c r="C40" s="40">
        <f>Anexos!E46</f>
        <v>208.33333333333334</v>
      </c>
      <c r="G40" s="91"/>
      <c r="H40" s="91"/>
    </row>
    <row r="41" spans="1:8" ht="15.75">
      <c r="A41" s="86"/>
      <c r="B41" s="16" t="s">
        <v>53</v>
      </c>
      <c r="C41" s="40">
        <f>Anexos!E47</f>
        <v>156.25</v>
      </c>
      <c r="G41" s="91"/>
      <c r="H41" s="91"/>
    </row>
    <row r="42" spans="2:4" ht="15.75">
      <c r="B42" s="16" t="s">
        <v>61</v>
      </c>
      <c r="C42" s="40">
        <f>Anexos!E48</f>
        <v>104.16666666666667</v>
      </c>
      <c r="D42" s="89"/>
    </row>
    <row r="43" spans="2:4" ht="15.75">
      <c r="B43" s="16" t="s">
        <v>80</v>
      </c>
      <c r="C43" s="40">
        <f>Anexos!E49</f>
        <v>52.083333333333336</v>
      </c>
      <c r="D43" s="89"/>
    </row>
    <row r="44" spans="2:4" ht="15.75">
      <c r="B44" s="16" t="s">
        <v>100</v>
      </c>
      <c r="C44" s="40">
        <f>Anexos!E50</f>
        <v>156.25</v>
      </c>
      <c r="D44" s="89"/>
    </row>
    <row r="45" spans="2:4" ht="15.75">
      <c r="B45" s="16" t="s">
        <v>62</v>
      </c>
      <c r="C45" s="40">
        <f>Anexos!E51</f>
        <v>52.083333333333336</v>
      </c>
      <c r="D45" s="89"/>
    </row>
    <row r="46" spans="2:4" ht="15.75">
      <c r="B46" s="16" t="s">
        <v>101</v>
      </c>
      <c r="C46" s="40">
        <f>Anexos!E52</f>
        <v>52.083333333333336</v>
      </c>
      <c r="D46" s="89"/>
    </row>
    <row r="47" spans="2:4" ht="15.75">
      <c r="B47" s="88" t="s">
        <v>114</v>
      </c>
      <c r="D47" s="89"/>
    </row>
    <row r="48" spans="2:4" ht="15.75">
      <c r="B48" s="88" t="s">
        <v>117</v>
      </c>
      <c r="C48" s="40"/>
      <c r="D48" s="89"/>
    </row>
    <row r="49" spans="2:4" ht="15.75">
      <c r="B49" s="16" t="s">
        <v>83</v>
      </c>
      <c r="C49" s="40">
        <f>Anexos!E53</f>
        <v>156.25</v>
      </c>
      <c r="D49" s="89"/>
    </row>
    <row r="50" spans="2:4" ht="15.75">
      <c r="B50" s="16" t="s">
        <v>214</v>
      </c>
      <c r="C50" s="89"/>
      <c r="D50" s="89"/>
    </row>
    <row r="51" spans="2:4" ht="15.75">
      <c r="B51" s="16" t="s">
        <v>118</v>
      </c>
      <c r="C51" s="89"/>
      <c r="D51" s="89">
        <f>Anexos!E54</f>
        <v>1041.6666666666667</v>
      </c>
    </row>
    <row r="52" spans="2:4" ht="16.5" thickBot="1">
      <c r="B52" s="16" t="s">
        <v>124</v>
      </c>
      <c r="C52" s="90">
        <f>SUM(C39:C49)</f>
        <v>1041.6666666666667</v>
      </c>
      <c r="D52" s="90">
        <f>SUM(D51:D51)</f>
        <v>1041.6666666666667</v>
      </c>
    </row>
    <row r="53" ht="16.5" thickTop="1"/>
    <row r="54" spans="1:2" ht="15.75">
      <c r="A54" s="86" t="s">
        <v>10</v>
      </c>
      <c r="B54" s="87" t="s">
        <v>8</v>
      </c>
    </row>
    <row r="55" spans="2:4" ht="15.75">
      <c r="B55" s="88" t="s">
        <v>114</v>
      </c>
      <c r="D55" s="89"/>
    </row>
    <row r="56" spans="2:4" ht="15.75">
      <c r="B56" s="88" t="s">
        <v>119</v>
      </c>
      <c r="C56" s="40"/>
      <c r="D56" s="89"/>
    </row>
    <row r="57" spans="2:4" ht="15.75">
      <c r="B57" s="16" t="s">
        <v>83</v>
      </c>
      <c r="C57" s="40">
        <f>Anexos!C60</f>
        <v>1111</v>
      </c>
      <c r="D57" s="89"/>
    </row>
    <row r="58" spans="2:4" ht="15.75">
      <c r="B58" s="16" t="s">
        <v>214</v>
      </c>
      <c r="C58" s="89"/>
      <c r="D58" s="89"/>
    </row>
    <row r="59" spans="2:4" ht="15.75">
      <c r="B59" s="16" t="s">
        <v>120</v>
      </c>
      <c r="C59" s="89"/>
      <c r="D59" s="89">
        <f>Anexos!C60</f>
        <v>1111</v>
      </c>
    </row>
    <row r="60" spans="2:4" ht="16.5" thickBot="1">
      <c r="B60" s="16" t="s">
        <v>123</v>
      </c>
      <c r="C60" s="90">
        <f>SUM(C55:C57)</f>
        <v>1111</v>
      </c>
      <c r="D60" s="90">
        <f>SUM(D59:D59)</f>
        <v>1111</v>
      </c>
    </row>
    <row r="61" ht="16.5" thickTop="1"/>
    <row r="62" spans="1:2" ht="15.75">
      <c r="A62" s="86" t="s">
        <v>10</v>
      </c>
      <c r="B62" s="87" t="s">
        <v>8</v>
      </c>
    </row>
    <row r="63" spans="1:2" ht="15.75">
      <c r="A63" s="86"/>
      <c r="B63" s="88" t="s">
        <v>136</v>
      </c>
    </row>
    <row r="64" spans="1:2" ht="15.75">
      <c r="A64" s="86"/>
      <c r="B64" s="88" t="s">
        <v>121</v>
      </c>
    </row>
    <row r="65" spans="1:3" ht="15.75">
      <c r="A65" s="86"/>
      <c r="B65" s="16" t="s">
        <v>51</v>
      </c>
      <c r="C65" s="40">
        <f>Anexos!D71</f>
        <v>2408.783701354154</v>
      </c>
    </row>
    <row r="66" spans="1:3" ht="15.75">
      <c r="A66" s="86"/>
      <c r="B66" s="16" t="s">
        <v>79</v>
      </c>
      <c r="C66" s="40">
        <f>Anexos!D72</f>
        <v>3613.175552031231</v>
      </c>
    </row>
    <row r="67" spans="1:3" ht="15.75">
      <c r="A67" s="86"/>
      <c r="B67" s="16" t="s">
        <v>53</v>
      </c>
      <c r="C67" s="40">
        <f>Anexos!D73</f>
        <v>2709.881664023423</v>
      </c>
    </row>
    <row r="68" spans="2:4" ht="15.75">
      <c r="B68" s="16" t="s">
        <v>61</v>
      </c>
      <c r="C68" s="40">
        <f>Anexos!D74</f>
        <v>1806.5877760156154</v>
      </c>
      <c r="D68" s="89"/>
    </row>
    <row r="69" spans="2:4" ht="15.75">
      <c r="B69" s="16" t="s">
        <v>80</v>
      </c>
      <c r="C69" s="40">
        <f>Anexos!D75</f>
        <v>1204.391850677077</v>
      </c>
      <c r="D69" s="89"/>
    </row>
    <row r="70" spans="2:4" ht="15.75">
      <c r="B70" s="16" t="s">
        <v>100</v>
      </c>
      <c r="C70" s="40">
        <f>Anexos!D76</f>
        <v>903.2938880078077</v>
      </c>
      <c r="D70" s="89"/>
    </row>
    <row r="71" spans="2:4" ht="15.75">
      <c r="B71" s="16" t="s">
        <v>62</v>
      </c>
      <c r="C71" s="40">
        <f>Anexos!D77</f>
        <v>602.1959253385385</v>
      </c>
      <c r="D71" s="89"/>
    </row>
    <row r="72" spans="2:4" ht="15.75">
      <c r="B72" s="16" t="s">
        <v>101</v>
      </c>
      <c r="C72" s="40">
        <f>Anexos!D78</f>
        <v>577.1044284494327</v>
      </c>
      <c r="D72" s="89"/>
    </row>
    <row r="73" spans="2:4" ht="15.75">
      <c r="B73" s="88" t="s">
        <v>114</v>
      </c>
      <c r="D73" s="89"/>
    </row>
    <row r="74" spans="2:4" ht="15.75">
      <c r="B74" s="88" t="s">
        <v>121</v>
      </c>
      <c r="C74" s="40"/>
      <c r="D74" s="89"/>
    </row>
    <row r="75" spans="2:4" ht="15.75">
      <c r="B75" s="16" t="s">
        <v>83</v>
      </c>
      <c r="C75" s="40">
        <f>Anexos!D79</f>
        <v>865.656642674149</v>
      </c>
      <c r="D75" s="89"/>
    </row>
    <row r="76" spans="2:4" ht="15.75">
      <c r="B76" s="16" t="s">
        <v>215</v>
      </c>
      <c r="C76" s="89"/>
      <c r="D76" s="89"/>
    </row>
    <row r="77" spans="2:4" ht="15.75">
      <c r="B77" s="16" t="s">
        <v>122</v>
      </c>
      <c r="C77" s="89"/>
      <c r="D77" s="89">
        <f>Anexos!D80</f>
        <v>14691.071428571426</v>
      </c>
    </row>
    <row r="78" spans="2:4" ht="16.5" thickBot="1">
      <c r="B78" s="16" t="s">
        <v>126</v>
      </c>
      <c r="C78" s="90">
        <f>SUM(C65:C75)</f>
        <v>14691.071428571426</v>
      </c>
      <c r="D78" s="90">
        <f>SUM(D77:D77)</f>
        <v>14691.071428571426</v>
      </c>
    </row>
    <row r="79" ht="16.5" thickTop="1"/>
    <row r="80" spans="1:2" ht="15.75">
      <c r="A80" s="86" t="s">
        <v>10</v>
      </c>
      <c r="B80" s="87" t="s">
        <v>8</v>
      </c>
    </row>
    <row r="81" spans="1:2" ht="15.75">
      <c r="A81" s="86"/>
      <c r="B81" s="88" t="s">
        <v>9</v>
      </c>
    </row>
    <row r="82" spans="1:2" ht="15.75">
      <c r="A82" s="86"/>
      <c r="B82" s="88" t="s">
        <v>127</v>
      </c>
    </row>
    <row r="83" spans="1:3" ht="15.75">
      <c r="A83" s="86"/>
      <c r="B83" s="16" t="s">
        <v>51</v>
      </c>
      <c r="C83" s="40">
        <f>Anexos!H90</f>
        <v>952.9411764705882</v>
      </c>
    </row>
    <row r="84" spans="1:3" ht="15.75">
      <c r="A84" s="86"/>
      <c r="B84" s="16" t="s">
        <v>79</v>
      </c>
      <c r="C84" s="40">
        <f>Anexos!H91</f>
        <v>820.5882352941176</v>
      </c>
    </row>
    <row r="85" spans="1:3" ht="15.75">
      <c r="A85" s="86"/>
      <c r="B85" s="16" t="s">
        <v>53</v>
      </c>
      <c r="C85" s="40">
        <f>Anexos!H92</f>
        <v>563.8235294117646</v>
      </c>
    </row>
    <row r="86" spans="2:4" ht="15.75">
      <c r="B86" s="16" t="s">
        <v>61</v>
      </c>
      <c r="C86" s="40">
        <f>Anexos!H93</f>
        <v>195.88235294117646</v>
      </c>
      <c r="D86" s="89"/>
    </row>
    <row r="87" spans="2:4" ht="15.75">
      <c r="B87" s="16" t="s">
        <v>80</v>
      </c>
      <c r="C87" s="40">
        <f>Anexos!H94</f>
        <v>156.17647058823528</v>
      </c>
      <c r="D87" s="89"/>
    </row>
    <row r="88" spans="2:4" ht="15.75">
      <c r="B88" s="16" t="s">
        <v>100</v>
      </c>
      <c r="C88" s="40">
        <f>Anexos!H95</f>
        <v>240.88235294117646</v>
      </c>
      <c r="D88" s="89"/>
    </row>
    <row r="89" spans="2:4" ht="15.75">
      <c r="B89" s="16" t="s">
        <v>62</v>
      </c>
      <c r="C89" s="40">
        <f>Anexos!H96</f>
        <v>76.76470588235294</v>
      </c>
      <c r="D89" s="89"/>
    </row>
    <row r="90" spans="2:4" ht="15.75">
      <c r="B90" s="16" t="s">
        <v>101</v>
      </c>
      <c r="C90" s="40">
        <f>Anexos!H97</f>
        <v>119.11764705882352</v>
      </c>
      <c r="D90" s="89"/>
    </row>
    <row r="91" spans="2:4" ht="15.75">
      <c r="B91" s="88" t="s">
        <v>114</v>
      </c>
      <c r="D91" s="89"/>
    </row>
    <row r="92" spans="2:4" ht="15.75">
      <c r="B92" s="88" t="s">
        <v>127</v>
      </c>
      <c r="C92" s="40"/>
      <c r="D92" s="89"/>
    </row>
    <row r="93" spans="2:4" ht="15.75">
      <c r="B93" s="16" t="s">
        <v>83</v>
      </c>
      <c r="C93" s="40">
        <f>Anexos!H98</f>
        <v>473.8235294117647</v>
      </c>
      <c r="D93" s="89"/>
    </row>
    <row r="94" spans="2:4" ht="15.75">
      <c r="B94" s="16" t="s">
        <v>215</v>
      </c>
      <c r="C94" s="89"/>
      <c r="D94" s="89"/>
    </row>
    <row r="95" spans="2:4" ht="15.75">
      <c r="B95" s="16" t="s">
        <v>129</v>
      </c>
      <c r="C95" s="89"/>
      <c r="D95" s="89">
        <f>Anexos!H99</f>
        <v>3600</v>
      </c>
    </row>
    <row r="96" spans="2:4" ht="16.5" thickBot="1">
      <c r="B96" s="16" t="s">
        <v>128</v>
      </c>
      <c r="C96" s="90">
        <f>SUM(C83:C93)</f>
        <v>3600</v>
      </c>
      <c r="D96" s="90">
        <f>SUM(D95:D95)</f>
        <v>3600</v>
      </c>
    </row>
    <row r="97" ht="16.5" thickTop="1"/>
    <row r="98" spans="1:2" ht="15.75">
      <c r="A98" s="86" t="s">
        <v>10</v>
      </c>
      <c r="B98" s="87" t="s">
        <v>8</v>
      </c>
    </row>
    <row r="99" spans="1:2" ht="15.75">
      <c r="A99" s="86"/>
      <c r="B99" s="88" t="s">
        <v>136</v>
      </c>
    </row>
    <row r="100" spans="1:2" ht="15.75">
      <c r="A100" s="86"/>
      <c r="B100" s="88" t="s">
        <v>130</v>
      </c>
    </row>
    <row r="101" spans="1:3" ht="15.75">
      <c r="A101" s="86"/>
      <c r="B101" s="16" t="s">
        <v>51</v>
      </c>
      <c r="C101" s="40">
        <f>Anexos!C107</f>
        <v>799.9999999999999</v>
      </c>
    </row>
    <row r="102" spans="1:3" ht="15.75">
      <c r="A102" s="86"/>
      <c r="B102" s="16" t="s">
        <v>79</v>
      </c>
      <c r="C102" s="40">
        <f>Anexos!C108</f>
        <v>399.99999999999994</v>
      </c>
    </row>
    <row r="103" spans="1:3" ht="15.75">
      <c r="A103" s="86"/>
      <c r="B103" s="16" t="s">
        <v>80</v>
      </c>
      <c r="C103" s="40">
        <f>Anexos!C109</f>
        <v>399.99999999999994</v>
      </c>
    </row>
    <row r="104" spans="2:4" ht="15.75">
      <c r="B104" s="16" t="s">
        <v>215</v>
      </c>
      <c r="C104" s="89"/>
      <c r="D104" s="89"/>
    </row>
    <row r="105" spans="2:4" ht="15.75">
      <c r="B105" s="16" t="s">
        <v>122</v>
      </c>
      <c r="C105" s="89"/>
      <c r="D105" s="89">
        <f>Anexos!C110</f>
        <v>1599.9999999999998</v>
      </c>
    </row>
    <row r="106" spans="2:4" ht="16.5" thickBot="1">
      <c r="B106" s="16" t="s">
        <v>131</v>
      </c>
      <c r="C106" s="90">
        <f>SUM(C101:C103)</f>
        <v>1599.9999999999998</v>
      </c>
      <c r="D106" s="90">
        <f>SUM(D105:D105)</f>
        <v>1599.9999999999998</v>
      </c>
    </row>
    <row r="107" ht="16.5" thickTop="1"/>
    <row r="108" spans="1:2" ht="15.75">
      <c r="A108" s="86" t="s">
        <v>10</v>
      </c>
      <c r="B108" s="87" t="s">
        <v>8</v>
      </c>
    </row>
    <row r="109" spans="1:2" ht="15.75">
      <c r="A109" s="86"/>
      <c r="B109" s="88" t="s">
        <v>136</v>
      </c>
    </row>
    <row r="110" spans="1:2" ht="15.75">
      <c r="A110" s="86"/>
      <c r="B110" s="88" t="s">
        <v>132</v>
      </c>
    </row>
    <row r="111" spans="1:3" ht="15.75">
      <c r="A111" s="86"/>
      <c r="B111" s="16" t="s">
        <v>51</v>
      </c>
      <c r="C111" s="40">
        <f>'GTOS. FAB.'!B36</f>
        <v>1611.06</v>
      </c>
    </row>
    <row r="112" spans="1:3" ht="15.75">
      <c r="A112" s="86"/>
      <c r="B112" s="16" t="s">
        <v>79</v>
      </c>
      <c r="C112" s="40">
        <f>'GTOS. FAB.'!C36</f>
        <v>1644.15</v>
      </c>
    </row>
    <row r="113" spans="1:3" ht="15.75">
      <c r="A113" s="86"/>
      <c r="B113" s="16" t="s">
        <v>53</v>
      </c>
      <c r="C113" s="40">
        <f>'GTOS. FAB.'!D36</f>
        <v>935.57</v>
      </c>
    </row>
    <row r="114" spans="2:4" ht="15.75">
      <c r="B114" s="16" t="s">
        <v>61</v>
      </c>
      <c r="C114" s="40">
        <f>'GTOS. FAB.'!E36</f>
        <v>571.54</v>
      </c>
      <c r="D114" s="89"/>
    </row>
    <row r="115" spans="2:4" ht="15.75">
      <c r="B115" s="16" t="s">
        <v>80</v>
      </c>
      <c r="C115" s="40">
        <f>'GTOS. FAB.'!F36</f>
        <v>555.06</v>
      </c>
      <c r="D115" s="89"/>
    </row>
    <row r="116" spans="2:4" ht="15.75">
      <c r="B116" s="16" t="s">
        <v>100</v>
      </c>
      <c r="C116" s="40">
        <f>'GTOS. FAB.'!G36</f>
        <v>411.27</v>
      </c>
      <c r="D116" s="89"/>
    </row>
    <row r="117" spans="2:4" ht="15.75">
      <c r="B117" s="16" t="s">
        <v>62</v>
      </c>
      <c r="C117" s="40">
        <f>'GTOS. FAB.'!H36</f>
        <v>644.68</v>
      </c>
      <c r="D117" s="89"/>
    </row>
    <row r="118" spans="2:4" ht="15.75">
      <c r="B118" s="16" t="s">
        <v>215</v>
      </c>
      <c r="C118" s="89"/>
      <c r="D118" s="89"/>
    </row>
    <row r="119" spans="2:4" ht="15.75">
      <c r="B119" s="16" t="s">
        <v>122</v>
      </c>
      <c r="C119" s="89"/>
      <c r="D119" s="89">
        <f>'GTOS. FAB.'!L36</f>
        <v>6373.33</v>
      </c>
    </row>
    <row r="120" spans="2:4" ht="16.5" thickBot="1">
      <c r="B120" s="16" t="s">
        <v>133</v>
      </c>
      <c r="C120" s="90">
        <f>SUM(C111:C117)</f>
        <v>6373.33</v>
      </c>
      <c r="D120" s="90">
        <f>SUM(D119:D119)</f>
        <v>6373.33</v>
      </c>
    </row>
    <row r="121" spans="2:4" ht="16.5" thickTop="1">
      <c r="B121" s="16"/>
      <c r="C121" s="92"/>
      <c r="D121" s="92"/>
    </row>
    <row r="123" spans="1:4" ht="15.75">
      <c r="A123" s="84" t="s">
        <v>135</v>
      </c>
      <c r="B123" s="84"/>
      <c r="C123" s="84"/>
      <c r="D123" s="84"/>
    </row>
    <row r="124" spans="1:2" ht="15.75">
      <c r="A124" s="86" t="s">
        <v>10</v>
      </c>
      <c r="B124" s="87" t="s">
        <v>8</v>
      </c>
    </row>
    <row r="125" spans="1:2" ht="15.75">
      <c r="A125" s="86"/>
      <c r="B125" s="88" t="s">
        <v>136</v>
      </c>
    </row>
    <row r="126" spans="1:2" ht="15.75">
      <c r="A126" s="86"/>
      <c r="B126" s="88" t="s">
        <v>82</v>
      </c>
    </row>
    <row r="127" spans="1:3" ht="15.75">
      <c r="A127" s="86"/>
      <c r="B127" s="16" t="s">
        <v>51</v>
      </c>
      <c r="C127" s="40">
        <f>Anexos!D121</f>
        <v>5537.443700976117</v>
      </c>
    </row>
    <row r="128" spans="1:3" ht="15.75">
      <c r="A128" s="86"/>
      <c r="B128" s="16" t="s">
        <v>79</v>
      </c>
      <c r="C128" s="40">
        <f>Anexos!D122</f>
        <v>3583.051806513958</v>
      </c>
    </row>
    <row r="129" spans="1:3" ht="15.75">
      <c r="A129" s="86"/>
      <c r="B129" s="16" t="s">
        <v>53</v>
      </c>
      <c r="C129" s="40">
        <f>Anexos!D123</f>
        <v>2280.123876872519</v>
      </c>
    </row>
    <row r="130" spans="2:4" ht="15.75">
      <c r="B130" s="16" t="s">
        <v>61</v>
      </c>
      <c r="C130" s="40">
        <f>Anexos!D124</f>
        <v>977.1959472310795</v>
      </c>
      <c r="D130" s="89"/>
    </row>
    <row r="131" spans="2:4" ht="15.75">
      <c r="B131" s="16" t="s">
        <v>80</v>
      </c>
      <c r="C131" s="40">
        <f>Anexos!D125</f>
        <v>1302.9279296414393</v>
      </c>
      <c r="D131" s="89"/>
    </row>
    <row r="132" spans="2:4" ht="15.75">
      <c r="B132" s="16" t="s">
        <v>81</v>
      </c>
      <c r="C132" s="40">
        <f>Anexos!D126</f>
        <v>651.4639648207196</v>
      </c>
      <c r="D132" s="89"/>
    </row>
    <row r="133" spans="2:4" ht="15.75">
      <c r="B133" s="16" t="s">
        <v>62</v>
      </c>
      <c r="C133" s="40">
        <f>Anexos!D127</f>
        <v>977.1959472310795</v>
      </c>
      <c r="D133" s="89"/>
    </row>
    <row r="134" spans="2:4" ht="15.75">
      <c r="B134" s="88" t="s">
        <v>114</v>
      </c>
      <c r="D134" s="89"/>
    </row>
    <row r="135" spans="2:4" ht="15.75">
      <c r="B135" s="88" t="s">
        <v>82</v>
      </c>
      <c r="C135" s="40"/>
      <c r="D135" s="89"/>
    </row>
    <row r="136" spans="2:4" ht="15.75">
      <c r="B136" s="16" t="s">
        <v>83</v>
      </c>
      <c r="C136" s="40">
        <f>Anexos!D128</f>
        <v>1302.9279296414393</v>
      </c>
      <c r="D136" s="89"/>
    </row>
    <row r="137" spans="2:4" ht="15.75">
      <c r="B137" s="87" t="s">
        <v>216</v>
      </c>
      <c r="C137" s="40"/>
      <c r="D137" s="89"/>
    </row>
    <row r="138" spans="2:4" ht="15.75">
      <c r="B138" s="16" t="s">
        <v>217</v>
      </c>
      <c r="C138" s="89"/>
      <c r="D138" s="89"/>
    </row>
    <row r="139" spans="2:4" ht="15.75">
      <c r="B139" s="16" t="s">
        <v>147</v>
      </c>
      <c r="C139" s="89"/>
      <c r="D139" s="89">
        <f>Anexos!D129</f>
        <v>16612.33110292835</v>
      </c>
    </row>
    <row r="140" spans="2:4" ht="16.5" thickBot="1">
      <c r="B140" s="16" t="s">
        <v>138</v>
      </c>
      <c r="C140" s="90">
        <f>SUM(C127:C136)</f>
        <v>16612.33110292835</v>
      </c>
      <c r="D140" s="90">
        <f>SUM(D139:D139)</f>
        <v>16612.33110292835</v>
      </c>
    </row>
    <row r="141" ht="16.5" thickTop="1"/>
    <row r="142" spans="1:2" ht="15.75">
      <c r="A142" s="86" t="s">
        <v>10</v>
      </c>
      <c r="B142" s="87" t="s">
        <v>8</v>
      </c>
    </row>
    <row r="143" spans="1:2" ht="15.75">
      <c r="A143" s="86"/>
      <c r="B143" s="88" t="s">
        <v>136</v>
      </c>
    </row>
    <row r="144" spans="1:2" ht="15.75">
      <c r="A144" s="86"/>
      <c r="B144" s="88" t="s">
        <v>62</v>
      </c>
    </row>
    <row r="145" spans="1:3" ht="15.75">
      <c r="A145" s="86"/>
      <c r="B145" s="16" t="s">
        <v>51</v>
      </c>
      <c r="C145" s="40">
        <f>Anexos!D138</f>
        <v>1851.6033331403926</v>
      </c>
    </row>
    <row r="146" spans="1:3" ht="15.75">
      <c r="A146" s="86"/>
      <c r="B146" s="16" t="s">
        <v>79</v>
      </c>
      <c r="C146" s="40">
        <f>Anexos!D139</f>
        <v>3703.206666280785</v>
      </c>
    </row>
    <row r="147" spans="1:3" ht="15.75">
      <c r="A147" s="86"/>
      <c r="B147" s="16" t="s">
        <v>53</v>
      </c>
      <c r="C147" s="40">
        <f>Anexos!D140</f>
        <v>2777.4049997105885</v>
      </c>
    </row>
    <row r="148" spans="2:4" ht="15.75">
      <c r="B148" s="16" t="s">
        <v>61</v>
      </c>
      <c r="C148" s="40">
        <f>Anexos!D141</f>
        <v>1851.6033331403926</v>
      </c>
      <c r="D148" s="89"/>
    </row>
    <row r="149" spans="2:4" ht="15.75">
      <c r="B149" s="16" t="s">
        <v>80</v>
      </c>
      <c r="C149" s="40">
        <f>Anexos!D142</f>
        <v>925.8016665701963</v>
      </c>
      <c r="D149" s="89"/>
    </row>
    <row r="150" spans="2:4" ht="15.75">
      <c r="B150" s="16" t="s">
        <v>81</v>
      </c>
      <c r="C150" s="40">
        <f>Anexos!D143</f>
        <v>2777.4049997105885</v>
      </c>
      <c r="D150" s="89"/>
    </row>
    <row r="151" spans="2:4" ht="15.75">
      <c r="B151" s="88" t="s">
        <v>114</v>
      </c>
      <c r="D151" s="89"/>
    </row>
    <row r="152" spans="2:4" ht="15.75">
      <c r="B152" s="88" t="s">
        <v>62</v>
      </c>
      <c r="C152" s="40"/>
      <c r="D152" s="89"/>
    </row>
    <row r="153" spans="2:4" ht="15.75">
      <c r="B153" s="16" t="s">
        <v>83</v>
      </c>
      <c r="C153" s="40">
        <f>Anexos!D144</f>
        <v>2777.4049997105885</v>
      </c>
      <c r="D153" s="89"/>
    </row>
    <row r="154" spans="2:4" ht="15.75">
      <c r="B154" s="87" t="s">
        <v>216</v>
      </c>
      <c r="C154" s="40"/>
      <c r="D154" s="89"/>
    </row>
    <row r="155" spans="2:4" ht="15.75">
      <c r="B155" s="16" t="s">
        <v>217</v>
      </c>
      <c r="C155" s="89"/>
      <c r="D155" s="89"/>
    </row>
    <row r="156" spans="2:4" ht="15.75">
      <c r="B156" s="16" t="s">
        <v>137</v>
      </c>
      <c r="C156" s="89"/>
      <c r="D156" s="89">
        <f>Anexos!D145</f>
        <v>16664.429998263535</v>
      </c>
    </row>
    <row r="157" spans="2:4" ht="16.5" thickBot="1">
      <c r="B157" s="16" t="s">
        <v>138</v>
      </c>
      <c r="C157" s="90">
        <f>SUM(C145:C153)</f>
        <v>16664.429998263535</v>
      </c>
      <c r="D157" s="90">
        <f>SUM(D156:D156)</f>
        <v>16664.429998263535</v>
      </c>
    </row>
    <row r="158" ht="16.5" thickTop="1"/>
    <row r="159" spans="1:4" ht="15.75">
      <c r="A159" s="93" t="s">
        <v>10</v>
      </c>
      <c r="B159" s="94" t="s">
        <v>8</v>
      </c>
      <c r="C159" s="72"/>
      <c r="D159" s="72"/>
    </row>
    <row r="160" spans="1:4" ht="15.75">
      <c r="A160" s="93"/>
      <c r="B160" s="95" t="s">
        <v>136</v>
      </c>
      <c r="C160" s="72"/>
      <c r="D160" s="72"/>
    </row>
    <row r="161" spans="1:4" ht="15.75">
      <c r="A161" s="93"/>
      <c r="B161" s="95" t="s">
        <v>80</v>
      </c>
      <c r="C161" s="72"/>
      <c r="D161" s="72"/>
    </row>
    <row r="162" spans="1:4" ht="15.75">
      <c r="A162" s="93"/>
      <c r="B162" s="96" t="s">
        <v>51</v>
      </c>
      <c r="C162" s="78">
        <f>Anexos!D154</f>
        <v>8970.118618373168</v>
      </c>
      <c r="D162" s="72"/>
    </row>
    <row r="163" spans="1:4" ht="15.75">
      <c r="A163" s="93"/>
      <c r="B163" s="96" t="s">
        <v>79</v>
      </c>
      <c r="C163" s="78">
        <f>Anexos!D155</f>
        <v>7785.7324359647655</v>
      </c>
      <c r="D163" s="72"/>
    </row>
    <row r="164" spans="1:4" ht="15.75">
      <c r="A164" s="93"/>
      <c r="B164" s="96" t="s">
        <v>53</v>
      </c>
      <c r="C164" s="78">
        <f>Anexos!D156</f>
        <v>6215.732145221702</v>
      </c>
      <c r="D164" s="72"/>
    </row>
    <row r="165" spans="1:4" ht="15.75">
      <c r="A165" s="72"/>
      <c r="B165" s="96" t="s">
        <v>61</v>
      </c>
      <c r="C165" s="78">
        <f>Anexos!D157</f>
        <v>826.3159424962624</v>
      </c>
      <c r="D165" s="97"/>
    </row>
    <row r="166" spans="1:4" ht="15.75">
      <c r="A166" s="72"/>
      <c r="B166" s="94" t="s">
        <v>216</v>
      </c>
      <c r="C166" s="78"/>
      <c r="D166" s="97"/>
    </row>
    <row r="167" spans="1:4" ht="15.75">
      <c r="A167" s="72"/>
      <c r="B167" s="96" t="s">
        <v>217</v>
      </c>
      <c r="C167" s="97"/>
      <c r="D167" s="97"/>
    </row>
    <row r="168" spans="1:4" ht="15.75">
      <c r="A168" s="72"/>
      <c r="B168" s="96" t="s">
        <v>139</v>
      </c>
      <c r="C168" s="97"/>
      <c r="D168" s="97">
        <f>Anexos!D158</f>
        <v>23797.8991420559</v>
      </c>
    </row>
    <row r="169" spans="1:4" ht="16.5" thickBot="1">
      <c r="A169" s="72"/>
      <c r="B169" s="96" t="s">
        <v>138</v>
      </c>
      <c r="C169" s="98">
        <f>SUM(C162:C165)</f>
        <v>23797.8991420559</v>
      </c>
      <c r="D169" s="98">
        <f>SUM(D168:D168)</f>
        <v>23797.8991420559</v>
      </c>
    </row>
    <row r="170" spans="1:4" ht="16.5" thickTop="1">
      <c r="A170" s="72"/>
      <c r="B170" s="72"/>
      <c r="C170" s="72"/>
      <c r="D170" s="72"/>
    </row>
    <row r="171" spans="1:4" ht="15.75">
      <c r="A171" s="93" t="s">
        <v>10</v>
      </c>
      <c r="B171" s="94" t="s">
        <v>8</v>
      </c>
      <c r="C171" s="72"/>
      <c r="D171" s="72"/>
    </row>
    <row r="172" spans="1:4" ht="15.75">
      <c r="A172" s="93"/>
      <c r="B172" s="95" t="s">
        <v>136</v>
      </c>
      <c r="C172" s="72"/>
      <c r="D172" s="72"/>
    </row>
    <row r="173" spans="1:4" ht="15.75">
      <c r="A173" s="93"/>
      <c r="B173" s="95" t="s">
        <v>61</v>
      </c>
      <c r="C173" s="72"/>
      <c r="D173" s="72"/>
    </row>
    <row r="174" spans="1:4" ht="15.75">
      <c r="A174" s="93"/>
      <c r="B174" s="96" t="s">
        <v>51</v>
      </c>
      <c r="C174" s="78">
        <f>Anexos!D167</f>
        <v>7537.062013825752</v>
      </c>
      <c r="D174" s="72"/>
    </row>
    <row r="175" spans="1:4" ht="15.75">
      <c r="A175" s="93"/>
      <c r="B175" s="96" t="s">
        <v>79</v>
      </c>
      <c r="C175" s="78">
        <f>Anexos!D168</f>
        <v>7160.208913134465</v>
      </c>
      <c r="D175" s="72"/>
    </row>
    <row r="176" spans="1:4" ht="15.75">
      <c r="A176" s="93"/>
      <c r="B176" s="96" t="s">
        <v>53</v>
      </c>
      <c r="C176" s="78">
        <f>Anexos!D169</f>
        <v>6783.355812443177</v>
      </c>
      <c r="D176" s="72"/>
    </row>
    <row r="177" spans="1:4" ht="15.75">
      <c r="A177" s="72"/>
      <c r="B177" s="94" t="s">
        <v>216</v>
      </c>
      <c r="C177" s="78"/>
      <c r="D177" s="97"/>
    </row>
    <row r="178" spans="1:4" ht="15.75">
      <c r="A178" s="72"/>
      <c r="B178" s="96" t="s">
        <v>217</v>
      </c>
      <c r="C178" s="97"/>
      <c r="D178" s="97"/>
    </row>
    <row r="179" spans="1:4" ht="15.75">
      <c r="A179" s="72"/>
      <c r="B179" s="96" t="s">
        <v>140</v>
      </c>
      <c r="C179" s="97"/>
      <c r="D179" s="97">
        <f>Anexos!D170</f>
        <v>21480.626739403393</v>
      </c>
    </row>
    <row r="180" spans="1:4" ht="16.5" thickBot="1">
      <c r="A180" s="72"/>
      <c r="B180" s="96" t="s">
        <v>138</v>
      </c>
      <c r="C180" s="98">
        <f>SUM(C174:C176)</f>
        <v>21480.626739403393</v>
      </c>
      <c r="D180" s="98">
        <f>SUM(D179:D179)</f>
        <v>21480.626739403393</v>
      </c>
    </row>
    <row r="181" spans="1:4" ht="16.5" thickTop="1">
      <c r="A181" s="72"/>
      <c r="B181" s="72"/>
      <c r="C181" s="72"/>
      <c r="D181" s="72"/>
    </row>
    <row r="182" spans="1:4" ht="15.75">
      <c r="A182" s="93" t="s">
        <v>10</v>
      </c>
      <c r="B182" s="94" t="s">
        <v>8</v>
      </c>
      <c r="C182" s="72"/>
      <c r="D182" s="72"/>
    </row>
    <row r="183" spans="1:4" ht="15.75">
      <c r="A183" s="93"/>
      <c r="B183" s="95" t="s">
        <v>136</v>
      </c>
      <c r="C183" s="72"/>
      <c r="D183" s="72"/>
    </row>
    <row r="184" spans="1:4" ht="15.75">
      <c r="A184" s="93"/>
      <c r="B184" s="95" t="s">
        <v>81</v>
      </c>
      <c r="C184" s="72"/>
      <c r="D184" s="72"/>
    </row>
    <row r="185" spans="1:4" ht="15.75">
      <c r="A185" s="93"/>
      <c r="B185" s="96" t="s">
        <v>51</v>
      </c>
      <c r="C185" s="78">
        <f>Anexos!D179</f>
        <v>6392.341707930648</v>
      </c>
      <c r="D185" s="72"/>
    </row>
    <row r="186" spans="1:4" ht="15.75">
      <c r="A186" s="93"/>
      <c r="B186" s="96" t="s">
        <v>79</v>
      </c>
      <c r="C186" s="78">
        <f>Anexos!D180</f>
        <v>6992.851880673375</v>
      </c>
      <c r="D186" s="72"/>
    </row>
    <row r="187" spans="1:4" ht="15.75">
      <c r="A187" s="93"/>
      <c r="B187" s="96" t="s">
        <v>53</v>
      </c>
      <c r="C187" s="78">
        <f>Anexos!D181</f>
        <v>1351.9338967506412</v>
      </c>
      <c r="D187" s="72"/>
    </row>
    <row r="188" spans="1:4" ht="15.75">
      <c r="A188" s="72"/>
      <c r="B188" s="94" t="s">
        <v>216</v>
      </c>
      <c r="C188" s="78"/>
      <c r="D188" s="97"/>
    </row>
    <row r="189" spans="1:4" ht="15.75">
      <c r="A189" s="72"/>
      <c r="B189" s="96" t="s">
        <v>217</v>
      </c>
      <c r="C189" s="97"/>
      <c r="D189" s="97"/>
    </row>
    <row r="190" spans="1:4" ht="15.75">
      <c r="A190" s="72"/>
      <c r="B190" s="96" t="s">
        <v>146</v>
      </c>
      <c r="C190" s="97"/>
      <c r="D190" s="97">
        <f>Anexos!D182</f>
        <v>14737.127485354664</v>
      </c>
    </row>
    <row r="191" spans="1:4" ht="16.5" thickBot="1">
      <c r="A191" s="72"/>
      <c r="B191" s="96" t="s">
        <v>138</v>
      </c>
      <c r="C191" s="98">
        <f>SUM(C185:C187)</f>
        <v>14737.127485354664</v>
      </c>
      <c r="D191" s="98">
        <f>SUM(D190:D190)</f>
        <v>14737.127485354664</v>
      </c>
    </row>
    <row r="192" ht="16.5" thickTop="1"/>
  </sheetData>
  <sheetProtection/>
  <mergeCells count="4">
    <mergeCell ref="A1:D1"/>
    <mergeCell ref="A2:D2"/>
    <mergeCell ref="A4:D4"/>
    <mergeCell ref="A123:D123"/>
  </mergeCells>
  <printOptions horizontalCentered="1"/>
  <pageMargins left="0.5118110236220472" right="0.4724409448818898" top="0.4330708661417323" bottom="0.5118110236220472" header="0" footer="0"/>
  <pageSetup orientation="portrait" scale="81" r:id="rId1"/>
  <rowBreaks count="2" manualBreakCount="2">
    <brk id="53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35">
      <selection activeCell="A148" sqref="A148:D148"/>
    </sheetView>
  </sheetViews>
  <sheetFormatPr defaultColWidth="11.421875" defaultRowHeight="12.75"/>
  <cols>
    <col min="1" max="16384" width="21.140625" style="7" customWidth="1"/>
  </cols>
  <sheetData>
    <row r="1" spans="1:8" ht="15.75">
      <c r="A1" s="83" t="str">
        <f>+'GTOS. FAB.'!A1:L1</f>
        <v>PERFUME DE ROSAS</v>
      </c>
      <c r="B1" s="83"/>
      <c r="C1" s="83"/>
      <c r="D1" s="83"/>
      <c r="E1" s="83"/>
      <c r="F1" s="83"/>
      <c r="G1" s="83"/>
      <c r="H1" s="83"/>
    </row>
    <row r="2" spans="1:8" ht="15.75">
      <c r="A2" s="99" t="s">
        <v>66</v>
      </c>
      <c r="B2" s="99"/>
      <c r="C2" s="99"/>
      <c r="D2" s="99"/>
      <c r="E2" s="99"/>
      <c r="F2" s="99"/>
      <c r="G2" s="99"/>
      <c r="H2" s="99"/>
    </row>
    <row r="4" spans="1:4" ht="15.75">
      <c r="A4" s="100" t="s">
        <v>67</v>
      </c>
      <c r="B4" s="100"/>
      <c r="C4" s="100"/>
      <c r="D4" s="100"/>
    </row>
    <row r="5" spans="1:4" ht="15.75">
      <c r="A5" s="16" t="s">
        <v>218</v>
      </c>
      <c r="B5" s="16"/>
      <c r="C5" s="16"/>
      <c r="D5" s="16"/>
    </row>
    <row r="6" spans="1:4" ht="15.75">
      <c r="A6" s="16" t="s">
        <v>219</v>
      </c>
      <c r="B6" s="16"/>
      <c r="C6" s="16"/>
      <c r="D6" s="16" t="s">
        <v>141</v>
      </c>
    </row>
    <row r="7" spans="1:4" ht="15.75">
      <c r="A7" s="16" t="s">
        <v>73</v>
      </c>
      <c r="B7" s="16"/>
      <c r="C7" s="104">
        <f>B20*0.1/12</f>
        <v>416.6666666666667</v>
      </c>
      <c r="D7" s="16"/>
    </row>
    <row r="8" spans="1:4" ht="15.75">
      <c r="A8" s="105" t="s">
        <v>220</v>
      </c>
      <c r="B8" s="106"/>
      <c r="C8" s="16">
        <f>C7/B20</f>
        <v>0.008333333333333333</v>
      </c>
      <c r="D8" s="16"/>
    </row>
    <row r="9" spans="1:4" ht="15.75">
      <c r="A9" s="16"/>
      <c r="B9" s="16"/>
      <c r="C9" s="16"/>
      <c r="D9" s="16"/>
    </row>
    <row r="10" spans="1:4" ht="31.5">
      <c r="A10" s="107" t="s">
        <v>47</v>
      </c>
      <c r="B10" s="108" t="s">
        <v>48</v>
      </c>
      <c r="C10" s="107" t="s">
        <v>49</v>
      </c>
      <c r="D10" s="107" t="s">
        <v>50</v>
      </c>
    </row>
    <row r="11" spans="1:4" ht="15.75">
      <c r="A11" s="109" t="s">
        <v>51</v>
      </c>
      <c r="B11" s="110">
        <v>5000</v>
      </c>
      <c r="C11" s="109">
        <f>C8</f>
        <v>0.008333333333333333</v>
      </c>
      <c r="D11" s="110">
        <f>B11*C11</f>
        <v>41.666666666666664</v>
      </c>
    </row>
    <row r="12" spans="1:4" ht="15.75">
      <c r="A12" s="109" t="s">
        <v>79</v>
      </c>
      <c r="B12" s="110">
        <v>5000</v>
      </c>
      <c r="C12" s="109">
        <f>C11</f>
        <v>0.008333333333333333</v>
      </c>
      <c r="D12" s="110">
        <f aca="true" t="shared" si="0" ref="D12:D19">B12*C12</f>
        <v>41.666666666666664</v>
      </c>
    </row>
    <row r="13" spans="1:4" ht="15.75">
      <c r="A13" s="109" t="s">
        <v>53</v>
      </c>
      <c r="B13" s="110">
        <v>4000</v>
      </c>
      <c r="C13" s="109">
        <f>C12</f>
        <v>0.008333333333333333</v>
      </c>
      <c r="D13" s="110">
        <f t="shared" si="0"/>
        <v>33.333333333333336</v>
      </c>
    </row>
    <row r="14" spans="1:4" ht="15.75">
      <c r="A14" s="109" t="s">
        <v>61</v>
      </c>
      <c r="B14" s="110">
        <v>2000</v>
      </c>
      <c r="C14" s="109">
        <f aca="true" t="shared" si="1" ref="C14:C19">C13</f>
        <v>0.008333333333333333</v>
      </c>
      <c r="D14" s="110">
        <f t="shared" si="0"/>
        <v>16.666666666666668</v>
      </c>
    </row>
    <row r="15" spans="1:4" ht="15.75">
      <c r="A15" s="109" t="s">
        <v>80</v>
      </c>
      <c r="B15" s="110">
        <v>2000</v>
      </c>
      <c r="C15" s="109">
        <f t="shared" si="1"/>
        <v>0.008333333333333333</v>
      </c>
      <c r="D15" s="110">
        <f t="shared" si="0"/>
        <v>16.666666666666668</v>
      </c>
    </row>
    <row r="16" spans="1:4" ht="15.75">
      <c r="A16" s="109" t="s">
        <v>100</v>
      </c>
      <c r="B16" s="110">
        <v>8000</v>
      </c>
      <c r="C16" s="109">
        <f t="shared" si="1"/>
        <v>0.008333333333333333</v>
      </c>
      <c r="D16" s="110">
        <f t="shared" si="0"/>
        <v>66.66666666666667</v>
      </c>
    </row>
    <row r="17" spans="1:4" ht="15.75">
      <c r="A17" s="109" t="s">
        <v>62</v>
      </c>
      <c r="B17" s="110">
        <v>2000</v>
      </c>
      <c r="C17" s="109">
        <f t="shared" si="1"/>
        <v>0.008333333333333333</v>
      </c>
      <c r="D17" s="110">
        <f t="shared" si="0"/>
        <v>16.666666666666668</v>
      </c>
    </row>
    <row r="18" spans="1:4" ht="15.75">
      <c r="A18" s="109" t="s">
        <v>101</v>
      </c>
      <c r="B18" s="110">
        <v>10000</v>
      </c>
      <c r="C18" s="109">
        <f t="shared" si="1"/>
        <v>0.008333333333333333</v>
      </c>
      <c r="D18" s="110">
        <f t="shared" si="0"/>
        <v>83.33333333333333</v>
      </c>
    </row>
    <row r="19" spans="1:4" ht="15.75">
      <c r="A19" s="109" t="s">
        <v>83</v>
      </c>
      <c r="B19" s="110">
        <v>12000</v>
      </c>
      <c r="C19" s="109">
        <f t="shared" si="1"/>
        <v>0.008333333333333333</v>
      </c>
      <c r="D19" s="110">
        <f t="shared" si="0"/>
        <v>100</v>
      </c>
    </row>
    <row r="20" spans="1:4" ht="15.75">
      <c r="A20" s="111" t="s">
        <v>55</v>
      </c>
      <c r="B20" s="112">
        <f>SUM(B11:B19)</f>
        <v>50000</v>
      </c>
      <c r="C20" s="109"/>
      <c r="D20" s="112">
        <f>SUM(D11:D19)</f>
        <v>416.66666666666663</v>
      </c>
    </row>
    <row r="23" spans="1:4" ht="15.75">
      <c r="A23" s="100" t="s">
        <v>68</v>
      </c>
      <c r="B23" s="100"/>
      <c r="C23" s="100"/>
      <c r="D23" s="100"/>
    </row>
    <row r="24" spans="1:4" ht="15.75">
      <c r="A24" s="113" t="s">
        <v>221</v>
      </c>
      <c r="B24" s="16"/>
      <c r="C24" s="16"/>
      <c r="D24" s="16"/>
    </row>
    <row r="25" spans="1:4" ht="15.75">
      <c r="A25" s="16" t="s">
        <v>222</v>
      </c>
      <c r="B25" s="16"/>
      <c r="C25" s="16"/>
      <c r="D25" s="16"/>
    </row>
    <row r="26" spans="1:4" ht="15.75">
      <c r="A26" s="16" t="s">
        <v>72</v>
      </c>
      <c r="B26" s="16"/>
      <c r="C26" s="104">
        <f>B35*0.1/12</f>
        <v>2833.3333333333335</v>
      </c>
      <c r="D26" s="16"/>
    </row>
    <row r="27" spans="1:4" ht="15.75">
      <c r="A27" s="105" t="s">
        <v>223</v>
      </c>
      <c r="B27" s="106"/>
      <c r="C27" s="16">
        <f>C26/B35</f>
        <v>0.008333333333333333</v>
      </c>
      <c r="D27" s="16"/>
    </row>
    <row r="28" spans="1:4" ht="15.75">
      <c r="A28" s="16"/>
      <c r="B28" s="16"/>
      <c r="C28" s="16"/>
      <c r="D28" s="16"/>
    </row>
    <row r="29" spans="1:4" ht="31.5">
      <c r="A29" s="107" t="s">
        <v>56</v>
      </c>
      <c r="B29" s="108" t="s">
        <v>57</v>
      </c>
      <c r="C29" s="107" t="s">
        <v>49</v>
      </c>
      <c r="D29" s="107" t="s">
        <v>50</v>
      </c>
    </row>
    <row r="30" spans="1:4" ht="15.75">
      <c r="A30" s="109" t="s">
        <v>51</v>
      </c>
      <c r="B30" s="110">
        <v>150000</v>
      </c>
      <c r="C30" s="109">
        <f>C27</f>
        <v>0.008333333333333333</v>
      </c>
      <c r="D30" s="110">
        <f>B30*C30</f>
        <v>1250</v>
      </c>
    </row>
    <row r="31" spans="1:4" ht="15.75">
      <c r="A31" s="109" t="s">
        <v>79</v>
      </c>
      <c r="B31" s="110">
        <v>100000</v>
      </c>
      <c r="C31" s="109">
        <f>C30</f>
        <v>0.008333333333333333</v>
      </c>
      <c r="D31" s="110">
        <f>B31*C31</f>
        <v>833.3333333333334</v>
      </c>
    </row>
    <row r="32" spans="1:4" ht="15.75">
      <c r="A32" s="109" t="s">
        <v>53</v>
      </c>
      <c r="B32" s="110">
        <v>65000</v>
      </c>
      <c r="C32" s="109">
        <f>C31</f>
        <v>0.008333333333333333</v>
      </c>
      <c r="D32" s="110">
        <f>B32*C32</f>
        <v>541.6666666666666</v>
      </c>
    </row>
    <row r="33" spans="1:4" ht="15.75">
      <c r="A33" s="109" t="s">
        <v>61</v>
      </c>
      <c r="B33" s="110">
        <v>10000</v>
      </c>
      <c r="C33" s="109">
        <f>C32</f>
        <v>0.008333333333333333</v>
      </c>
      <c r="D33" s="110">
        <f>B33*C33</f>
        <v>83.33333333333333</v>
      </c>
    </row>
    <row r="34" spans="1:4" ht="15.75">
      <c r="A34" s="109" t="s">
        <v>80</v>
      </c>
      <c r="B34" s="110">
        <v>15000</v>
      </c>
      <c r="C34" s="109">
        <f>C33</f>
        <v>0.008333333333333333</v>
      </c>
      <c r="D34" s="110">
        <f>B34*C34</f>
        <v>125</v>
      </c>
    </row>
    <row r="35" spans="1:4" ht="15.75">
      <c r="A35" s="111" t="s">
        <v>55</v>
      </c>
      <c r="B35" s="112">
        <f>SUM(B30:B34)</f>
        <v>340000</v>
      </c>
      <c r="C35" s="109"/>
      <c r="D35" s="112">
        <f>SUM(D30:D34)</f>
        <v>2833.3333333333335</v>
      </c>
    </row>
    <row r="38" spans="1:5" ht="15.75">
      <c r="A38" s="100" t="s">
        <v>69</v>
      </c>
      <c r="B38" s="100"/>
      <c r="C38" s="100"/>
      <c r="D38" s="100"/>
      <c r="E38" s="100"/>
    </row>
    <row r="39" spans="1:4" s="91" customFormat="1" ht="15.75">
      <c r="A39" s="114" t="s">
        <v>224</v>
      </c>
      <c r="B39" s="114"/>
      <c r="C39" s="114"/>
      <c r="D39" s="114"/>
    </row>
    <row r="40" spans="1:4" s="91" customFormat="1" ht="15.75">
      <c r="A40" s="114" t="s">
        <v>225</v>
      </c>
      <c r="B40" s="114"/>
      <c r="C40" s="114"/>
      <c r="D40" s="114"/>
    </row>
    <row r="41" spans="1:4" s="91" customFormat="1" ht="15.75">
      <c r="A41" s="114" t="s">
        <v>99</v>
      </c>
      <c r="B41" s="114"/>
      <c r="C41" s="115">
        <f>B54*0.05/12</f>
        <v>1041.6666666666667</v>
      </c>
      <c r="D41" s="114"/>
    </row>
    <row r="42" spans="1:4" s="91" customFormat="1" ht="15.75">
      <c r="A42" s="116" t="s">
        <v>226</v>
      </c>
      <c r="B42" s="117"/>
      <c r="C42" s="118">
        <f>C41/C54</f>
        <v>0.5208333333333334</v>
      </c>
      <c r="D42" s="114"/>
    </row>
    <row r="43" spans="1:4" ht="15.75">
      <c r="A43" s="16"/>
      <c r="B43" s="16"/>
      <c r="C43" s="16"/>
      <c r="D43" s="16"/>
    </row>
    <row r="44" spans="1:5" ht="18">
      <c r="A44" s="111" t="s">
        <v>47</v>
      </c>
      <c r="B44" s="107" t="s">
        <v>103</v>
      </c>
      <c r="C44" s="107" t="s">
        <v>227</v>
      </c>
      <c r="D44" s="107" t="s">
        <v>49</v>
      </c>
      <c r="E44" s="107" t="s">
        <v>65</v>
      </c>
    </row>
    <row r="45" spans="1:5" ht="15.75">
      <c r="A45" s="109" t="s">
        <v>51</v>
      </c>
      <c r="B45" s="110">
        <f>(200*250000)/2000</f>
        <v>25000</v>
      </c>
      <c r="C45" s="119">
        <v>200</v>
      </c>
      <c r="D45" s="120">
        <f>C42</f>
        <v>0.5208333333333334</v>
      </c>
      <c r="E45" s="110">
        <f>C45*D45</f>
        <v>104.16666666666667</v>
      </c>
    </row>
    <row r="46" spans="1:5" ht="15.75">
      <c r="A46" s="109" t="s">
        <v>52</v>
      </c>
      <c r="B46" s="110">
        <f>(400*250000)/2000</f>
        <v>50000</v>
      </c>
      <c r="C46" s="119">
        <v>400</v>
      </c>
      <c r="D46" s="120">
        <f aca="true" t="shared" si="2" ref="D46:D53">D45</f>
        <v>0.5208333333333334</v>
      </c>
      <c r="E46" s="110">
        <f aca="true" t="shared" si="3" ref="E46:E53">C46*D46</f>
        <v>208.33333333333334</v>
      </c>
    </row>
    <row r="47" spans="1:5" ht="15.75">
      <c r="A47" s="109" t="s">
        <v>53</v>
      </c>
      <c r="B47" s="110">
        <f>(300*250000)/2000</f>
        <v>37500</v>
      </c>
      <c r="C47" s="119">
        <v>300</v>
      </c>
      <c r="D47" s="120">
        <f t="shared" si="2"/>
        <v>0.5208333333333334</v>
      </c>
      <c r="E47" s="110">
        <f t="shared" si="3"/>
        <v>156.25</v>
      </c>
    </row>
    <row r="48" spans="1:5" ht="15.75">
      <c r="A48" s="109" t="s">
        <v>54</v>
      </c>
      <c r="B48" s="110">
        <f>(200*250000)/2000</f>
        <v>25000</v>
      </c>
      <c r="C48" s="119">
        <v>200</v>
      </c>
      <c r="D48" s="120">
        <f t="shared" si="2"/>
        <v>0.5208333333333334</v>
      </c>
      <c r="E48" s="110">
        <f t="shared" si="3"/>
        <v>104.16666666666667</v>
      </c>
    </row>
    <row r="49" spans="1:5" ht="15.75">
      <c r="A49" s="109" t="s">
        <v>144</v>
      </c>
      <c r="B49" s="110">
        <f>(100*250000)/2000</f>
        <v>12500</v>
      </c>
      <c r="C49" s="119">
        <v>100</v>
      </c>
      <c r="D49" s="120">
        <f t="shared" si="2"/>
        <v>0.5208333333333334</v>
      </c>
      <c r="E49" s="110">
        <f t="shared" si="3"/>
        <v>52.083333333333336</v>
      </c>
    </row>
    <row r="50" spans="1:5" ht="15.75">
      <c r="A50" s="109" t="s">
        <v>100</v>
      </c>
      <c r="B50" s="110">
        <f>(300*250000)/2000</f>
        <v>37500</v>
      </c>
      <c r="C50" s="119">
        <v>300</v>
      </c>
      <c r="D50" s="120">
        <f t="shared" si="2"/>
        <v>0.5208333333333334</v>
      </c>
      <c r="E50" s="110">
        <f t="shared" si="3"/>
        <v>156.25</v>
      </c>
    </row>
    <row r="51" spans="1:5" ht="15.75">
      <c r="A51" s="109" t="s">
        <v>62</v>
      </c>
      <c r="B51" s="110">
        <f>(100*250000)/2000</f>
        <v>12500</v>
      </c>
      <c r="C51" s="121">
        <v>100</v>
      </c>
      <c r="D51" s="120">
        <f t="shared" si="2"/>
        <v>0.5208333333333334</v>
      </c>
      <c r="E51" s="110">
        <f t="shared" si="3"/>
        <v>52.083333333333336</v>
      </c>
    </row>
    <row r="52" spans="1:5" ht="15.75">
      <c r="A52" s="109" t="s">
        <v>101</v>
      </c>
      <c r="B52" s="110">
        <f>(100*250000)/2000</f>
        <v>12500</v>
      </c>
      <c r="C52" s="121">
        <v>100</v>
      </c>
      <c r="D52" s="120">
        <f t="shared" si="2"/>
        <v>0.5208333333333334</v>
      </c>
      <c r="E52" s="110">
        <f t="shared" si="3"/>
        <v>52.083333333333336</v>
      </c>
    </row>
    <row r="53" spans="1:5" ht="15.75">
      <c r="A53" s="109" t="s">
        <v>102</v>
      </c>
      <c r="B53" s="110">
        <f>(300*250000)/2000</f>
        <v>37500</v>
      </c>
      <c r="C53" s="121">
        <v>300</v>
      </c>
      <c r="D53" s="120">
        <f t="shared" si="2"/>
        <v>0.5208333333333334</v>
      </c>
      <c r="E53" s="110">
        <f t="shared" si="3"/>
        <v>156.25</v>
      </c>
    </row>
    <row r="54" spans="1:5" ht="15.75">
      <c r="A54" s="111" t="s">
        <v>55</v>
      </c>
      <c r="B54" s="112">
        <f>SUM(B45:B53)</f>
        <v>250000</v>
      </c>
      <c r="C54" s="122">
        <f>SUM(C45:C53)</f>
        <v>2000</v>
      </c>
      <c r="D54" s="109"/>
      <c r="E54" s="112">
        <f>SUM(E45:E53)</f>
        <v>1041.6666666666667</v>
      </c>
    </row>
    <row r="57" spans="1:8" ht="15.75">
      <c r="A57" s="100" t="s">
        <v>70</v>
      </c>
      <c r="B57" s="100"/>
      <c r="C57" s="100"/>
      <c r="D57" s="101"/>
      <c r="E57" s="102"/>
      <c r="F57" s="102"/>
      <c r="G57" s="102"/>
      <c r="H57" s="102"/>
    </row>
    <row r="58" spans="1:6" ht="15.75">
      <c r="A58" s="114" t="s">
        <v>228</v>
      </c>
      <c r="B58" s="114"/>
      <c r="C58" s="114"/>
      <c r="D58" s="114"/>
      <c r="E58" s="16"/>
      <c r="F58" s="16"/>
    </row>
    <row r="59" spans="1:4" s="91" customFormat="1" ht="15.75">
      <c r="A59" s="114" t="s">
        <v>229</v>
      </c>
      <c r="B59" s="114"/>
      <c r="C59" s="114"/>
      <c r="D59" s="114"/>
    </row>
    <row r="60" spans="1:4" s="91" customFormat="1" ht="15.75">
      <c r="A60" s="114" t="s">
        <v>104</v>
      </c>
      <c r="B60" s="114"/>
      <c r="C60" s="115">
        <f>40000*0.3333/12</f>
        <v>1111</v>
      </c>
      <c r="D60" s="114"/>
    </row>
    <row r="61" spans="1:6" ht="15.75">
      <c r="A61" s="7" t="s">
        <v>105</v>
      </c>
      <c r="B61" s="114"/>
      <c r="C61" s="114"/>
      <c r="D61" s="114"/>
      <c r="E61" s="16"/>
      <c r="F61" s="16"/>
    </row>
    <row r="62" spans="1:6" ht="15.75">
      <c r="A62" s="106"/>
      <c r="B62" s="123"/>
      <c r="C62" s="124"/>
      <c r="D62" s="124"/>
      <c r="E62" s="16"/>
      <c r="F62" s="16"/>
    </row>
    <row r="63" spans="1:6" ht="15.75">
      <c r="A63" s="106"/>
      <c r="B63" s="123"/>
      <c r="C63" s="124"/>
      <c r="D63" s="124"/>
      <c r="E63" s="16"/>
      <c r="F63" s="16"/>
    </row>
    <row r="64" spans="1:6" ht="15.75">
      <c r="A64" s="100" t="s">
        <v>71</v>
      </c>
      <c r="B64" s="100"/>
      <c r="C64" s="100"/>
      <c r="D64" s="100"/>
      <c r="F64" s="103"/>
    </row>
    <row r="65" spans="1:4" ht="15.75">
      <c r="A65" s="16" t="s">
        <v>230</v>
      </c>
      <c r="B65" s="16"/>
      <c r="C65" s="16"/>
      <c r="D65" s="16"/>
    </row>
    <row r="66" spans="1:4" ht="15.75">
      <c r="A66" s="16" t="s">
        <v>231</v>
      </c>
      <c r="B66" s="16"/>
      <c r="C66" s="16"/>
      <c r="D66" s="16"/>
    </row>
    <row r="67" spans="1:8" ht="15.75">
      <c r="A67" s="16" t="s">
        <v>74</v>
      </c>
      <c r="B67" s="125">
        <f>16454/1.12</f>
        <v>14691.071428571428</v>
      </c>
      <c r="C67" s="16"/>
      <c r="D67" s="16"/>
      <c r="H67" s="126"/>
    </row>
    <row r="68" spans="1:8" ht="15.75">
      <c r="A68" s="106" t="s">
        <v>232</v>
      </c>
      <c r="B68" s="16"/>
      <c r="C68" s="16">
        <f>B67/B80</f>
        <v>1.393972049394765</v>
      </c>
      <c r="D68" s="16"/>
      <c r="H68" s="126"/>
    </row>
    <row r="69" spans="1:4" ht="15.75">
      <c r="A69" s="16"/>
      <c r="B69" s="16"/>
      <c r="C69" s="16"/>
      <c r="D69" s="127"/>
    </row>
    <row r="70" spans="1:4" ht="15.75">
      <c r="A70" s="107" t="s">
        <v>56</v>
      </c>
      <c r="B70" s="107" t="s">
        <v>58</v>
      </c>
      <c r="C70" s="107" t="s">
        <v>49</v>
      </c>
      <c r="D70" s="107" t="s">
        <v>50</v>
      </c>
    </row>
    <row r="71" spans="1:4" ht="15.75">
      <c r="A71" s="109" t="s">
        <v>51</v>
      </c>
      <c r="B71" s="128">
        <f>'GTOS. FAB.'!B17</f>
        <v>1728</v>
      </c>
      <c r="C71" s="109">
        <f>C68</f>
        <v>1.393972049394765</v>
      </c>
      <c r="D71" s="110">
        <f aca="true" t="shared" si="4" ref="D71:D79">B71*C71</f>
        <v>2408.783701354154</v>
      </c>
    </row>
    <row r="72" spans="1:4" ht="15.75">
      <c r="A72" s="109" t="s">
        <v>79</v>
      </c>
      <c r="B72" s="128">
        <f>'GTOS. FAB.'!C17</f>
        <v>2592</v>
      </c>
      <c r="C72" s="109">
        <f>C71</f>
        <v>1.393972049394765</v>
      </c>
      <c r="D72" s="110">
        <f t="shared" si="4"/>
        <v>3613.175552031231</v>
      </c>
    </row>
    <row r="73" spans="1:4" ht="15.75">
      <c r="A73" s="109" t="s">
        <v>53</v>
      </c>
      <c r="B73" s="128">
        <f>'GTOS. FAB.'!D17</f>
        <v>1944</v>
      </c>
      <c r="C73" s="109">
        <f>C72</f>
        <v>1.393972049394765</v>
      </c>
      <c r="D73" s="110">
        <f>B73*C73</f>
        <v>2709.881664023423</v>
      </c>
    </row>
    <row r="74" spans="1:4" ht="15.75">
      <c r="A74" s="109" t="s">
        <v>61</v>
      </c>
      <c r="B74" s="128">
        <f>'GTOS. FAB.'!E17</f>
        <v>1296</v>
      </c>
      <c r="C74" s="109">
        <f aca="true" t="shared" si="5" ref="C74:C79">C73</f>
        <v>1.393972049394765</v>
      </c>
      <c r="D74" s="110">
        <f t="shared" si="4"/>
        <v>1806.5877760156154</v>
      </c>
    </row>
    <row r="75" spans="1:4" ht="15.75">
      <c r="A75" s="109" t="s">
        <v>80</v>
      </c>
      <c r="B75" s="128">
        <f>'GTOS. FAB.'!F17</f>
        <v>864</v>
      </c>
      <c r="C75" s="109">
        <f t="shared" si="5"/>
        <v>1.393972049394765</v>
      </c>
      <c r="D75" s="110">
        <f t="shared" si="4"/>
        <v>1204.391850677077</v>
      </c>
    </row>
    <row r="76" spans="1:4" ht="15.75">
      <c r="A76" s="109" t="s">
        <v>100</v>
      </c>
      <c r="B76" s="128">
        <f>'GTOS. FAB.'!G17</f>
        <v>648</v>
      </c>
      <c r="C76" s="109">
        <f t="shared" si="5"/>
        <v>1.393972049394765</v>
      </c>
      <c r="D76" s="110">
        <f t="shared" si="4"/>
        <v>903.2938880078077</v>
      </c>
    </row>
    <row r="77" spans="1:4" ht="15.75">
      <c r="A77" s="109" t="s">
        <v>62</v>
      </c>
      <c r="B77" s="128">
        <f>'GTOS. FAB.'!H17</f>
        <v>432</v>
      </c>
      <c r="C77" s="109">
        <f t="shared" si="5"/>
        <v>1.393972049394765</v>
      </c>
      <c r="D77" s="110">
        <f t="shared" si="4"/>
        <v>602.1959253385385</v>
      </c>
    </row>
    <row r="78" spans="1:4" ht="15.75">
      <c r="A78" s="109" t="s">
        <v>101</v>
      </c>
      <c r="B78" s="128">
        <f>'GTOS. FAB.'!I17</f>
        <v>414</v>
      </c>
      <c r="C78" s="109">
        <f t="shared" si="5"/>
        <v>1.393972049394765</v>
      </c>
      <c r="D78" s="110">
        <f t="shared" si="4"/>
        <v>577.1044284494327</v>
      </c>
    </row>
    <row r="79" spans="1:4" ht="15.75">
      <c r="A79" s="109" t="s">
        <v>83</v>
      </c>
      <c r="B79" s="128">
        <f>'GTOS. FAB.'!K17</f>
        <v>621</v>
      </c>
      <c r="C79" s="109">
        <f t="shared" si="5"/>
        <v>1.393972049394765</v>
      </c>
      <c r="D79" s="110">
        <f t="shared" si="4"/>
        <v>865.656642674149</v>
      </c>
    </row>
    <row r="80" spans="1:6" ht="15.75">
      <c r="A80" s="111" t="s">
        <v>55</v>
      </c>
      <c r="B80" s="129">
        <f>SUM(B71:B79)</f>
        <v>10539</v>
      </c>
      <c r="C80" s="109"/>
      <c r="D80" s="112">
        <f>SUM(D71:D79)</f>
        <v>14691.071428571426</v>
      </c>
      <c r="F80" s="40"/>
    </row>
    <row r="83" spans="1:8" ht="15.75">
      <c r="A83" s="100" t="s">
        <v>97</v>
      </c>
      <c r="B83" s="100"/>
      <c r="C83" s="100"/>
      <c r="D83" s="100"/>
      <c r="E83" s="100"/>
      <c r="F83" s="100"/>
      <c r="G83" s="100"/>
      <c r="H83" s="100"/>
    </row>
    <row r="84" spans="1:8" ht="15.75">
      <c r="A84" s="114" t="s">
        <v>233</v>
      </c>
      <c r="B84" s="114"/>
      <c r="C84" s="114"/>
      <c r="D84" s="114"/>
      <c r="E84" s="114"/>
      <c r="F84" s="114"/>
      <c r="G84" s="114"/>
      <c r="H84" s="114"/>
    </row>
    <row r="85" spans="1:8" ht="15.75">
      <c r="A85" s="114" t="s">
        <v>234</v>
      </c>
      <c r="B85" s="114"/>
      <c r="C85" s="114"/>
      <c r="D85" s="114"/>
      <c r="E85" s="114"/>
      <c r="F85" s="114"/>
      <c r="G85" s="114"/>
      <c r="H85" s="114"/>
    </row>
    <row r="86" spans="1:8" ht="15.75">
      <c r="A86" s="117" t="s">
        <v>75</v>
      </c>
      <c r="B86" s="114"/>
      <c r="C86" s="114"/>
      <c r="D86" s="114"/>
      <c r="E86" s="114"/>
      <c r="F86" s="114"/>
      <c r="G86" s="114"/>
      <c r="H86" s="114"/>
    </row>
    <row r="87" spans="1:8" ht="15.75">
      <c r="A87" s="117" t="s">
        <v>235</v>
      </c>
      <c r="B87" s="114"/>
      <c r="C87" s="118">
        <f>3600/F99</f>
        <v>0.005294117647058823</v>
      </c>
      <c r="D87" s="114"/>
      <c r="E87" s="114"/>
      <c r="F87" s="114"/>
      <c r="G87" s="114"/>
      <c r="H87" s="114"/>
    </row>
    <row r="88" spans="1:8" ht="15.75">
      <c r="A88" s="16"/>
      <c r="B88" s="16"/>
      <c r="C88" s="16"/>
      <c r="D88" s="16"/>
      <c r="E88" s="16"/>
      <c r="F88" s="16"/>
      <c r="G88" s="16"/>
      <c r="H88" s="16"/>
    </row>
    <row r="89" spans="1:8" ht="31.5">
      <c r="A89" s="107" t="s">
        <v>56</v>
      </c>
      <c r="B89" s="108" t="s">
        <v>59</v>
      </c>
      <c r="C89" s="107" t="s">
        <v>60</v>
      </c>
      <c r="D89" s="107" t="s">
        <v>96</v>
      </c>
      <c r="E89" s="107" t="s">
        <v>95</v>
      </c>
      <c r="F89" s="107" t="s">
        <v>55</v>
      </c>
      <c r="G89" s="107" t="s">
        <v>49</v>
      </c>
      <c r="H89" s="107" t="s">
        <v>50</v>
      </c>
    </row>
    <row r="90" spans="1:8" ht="15.75">
      <c r="A90" s="109" t="s">
        <v>51</v>
      </c>
      <c r="B90" s="110">
        <v>5000</v>
      </c>
      <c r="C90" s="110">
        <v>150000</v>
      </c>
      <c r="D90" s="110">
        <f>B45</f>
        <v>25000</v>
      </c>
      <c r="E90" s="110"/>
      <c r="F90" s="110">
        <f>SUM(B90:E90)</f>
        <v>180000</v>
      </c>
      <c r="G90" s="120">
        <f>C87</f>
        <v>0.005294117647058823</v>
      </c>
      <c r="H90" s="110">
        <f>F90*G90</f>
        <v>952.9411764705882</v>
      </c>
    </row>
    <row r="91" spans="1:8" ht="15.75">
      <c r="A91" s="109" t="s">
        <v>79</v>
      </c>
      <c r="B91" s="110">
        <v>5000</v>
      </c>
      <c r="C91" s="110">
        <v>100000</v>
      </c>
      <c r="D91" s="110">
        <f>B46</f>
        <v>50000</v>
      </c>
      <c r="E91" s="110"/>
      <c r="F91" s="110">
        <f aca="true" t="shared" si="6" ref="F91:F98">SUM(B91:E91)</f>
        <v>155000</v>
      </c>
      <c r="G91" s="120">
        <f aca="true" t="shared" si="7" ref="G91:G98">G90</f>
        <v>0.005294117647058823</v>
      </c>
      <c r="H91" s="110">
        <f aca="true" t="shared" si="8" ref="H91:H98">F91*G91</f>
        <v>820.5882352941176</v>
      </c>
    </row>
    <row r="92" spans="1:8" ht="15.75">
      <c r="A92" s="109" t="s">
        <v>53</v>
      </c>
      <c r="B92" s="110">
        <v>4000</v>
      </c>
      <c r="C92" s="110">
        <v>65000</v>
      </c>
      <c r="D92" s="110">
        <f aca="true" t="shared" si="9" ref="D92:D98">B47</f>
        <v>37500</v>
      </c>
      <c r="E92" s="110"/>
      <c r="F92" s="110">
        <f t="shared" si="6"/>
        <v>106500</v>
      </c>
      <c r="G92" s="120">
        <f t="shared" si="7"/>
        <v>0.005294117647058823</v>
      </c>
      <c r="H92" s="110">
        <f t="shared" si="8"/>
        <v>563.8235294117646</v>
      </c>
    </row>
    <row r="93" spans="1:8" ht="15.75">
      <c r="A93" s="109" t="s">
        <v>61</v>
      </c>
      <c r="B93" s="110">
        <v>2000</v>
      </c>
      <c r="C93" s="110">
        <v>10000</v>
      </c>
      <c r="D93" s="110">
        <f t="shared" si="9"/>
        <v>25000</v>
      </c>
      <c r="E93" s="110"/>
      <c r="F93" s="110">
        <f t="shared" si="6"/>
        <v>37000</v>
      </c>
      <c r="G93" s="120">
        <f t="shared" si="7"/>
        <v>0.005294117647058823</v>
      </c>
      <c r="H93" s="110">
        <f t="shared" si="8"/>
        <v>195.88235294117646</v>
      </c>
    </row>
    <row r="94" spans="1:8" ht="15.75">
      <c r="A94" s="109" t="s">
        <v>80</v>
      </c>
      <c r="B94" s="110">
        <v>2000</v>
      </c>
      <c r="C94" s="110">
        <v>15000</v>
      </c>
      <c r="D94" s="110">
        <f t="shared" si="9"/>
        <v>12500</v>
      </c>
      <c r="E94" s="110"/>
      <c r="F94" s="110">
        <f t="shared" si="6"/>
        <v>29500</v>
      </c>
      <c r="G94" s="120">
        <f t="shared" si="7"/>
        <v>0.005294117647058823</v>
      </c>
      <c r="H94" s="110">
        <f t="shared" si="8"/>
        <v>156.17647058823528</v>
      </c>
    </row>
    <row r="95" spans="1:8" ht="15.75">
      <c r="A95" s="109" t="s">
        <v>100</v>
      </c>
      <c r="B95" s="110">
        <v>8000</v>
      </c>
      <c r="C95" s="110"/>
      <c r="D95" s="110">
        <f t="shared" si="9"/>
        <v>37500</v>
      </c>
      <c r="E95" s="110"/>
      <c r="F95" s="110">
        <f t="shared" si="6"/>
        <v>45500</v>
      </c>
      <c r="G95" s="120">
        <f t="shared" si="7"/>
        <v>0.005294117647058823</v>
      </c>
      <c r="H95" s="110">
        <f t="shared" si="8"/>
        <v>240.88235294117646</v>
      </c>
    </row>
    <row r="96" spans="1:8" ht="15.75">
      <c r="A96" s="109" t="s">
        <v>62</v>
      </c>
      <c r="B96" s="110">
        <v>2000</v>
      </c>
      <c r="C96" s="110"/>
      <c r="D96" s="110">
        <f t="shared" si="9"/>
        <v>12500</v>
      </c>
      <c r="E96" s="110"/>
      <c r="F96" s="110">
        <f t="shared" si="6"/>
        <v>14500</v>
      </c>
      <c r="G96" s="120">
        <f t="shared" si="7"/>
        <v>0.005294117647058823</v>
      </c>
      <c r="H96" s="110">
        <f t="shared" si="8"/>
        <v>76.76470588235294</v>
      </c>
    </row>
    <row r="97" spans="1:8" ht="15.75">
      <c r="A97" s="109" t="s">
        <v>101</v>
      </c>
      <c r="B97" s="110">
        <v>10000</v>
      </c>
      <c r="C97" s="110"/>
      <c r="D97" s="110">
        <f t="shared" si="9"/>
        <v>12500</v>
      </c>
      <c r="E97" s="110"/>
      <c r="F97" s="110">
        <f t="shared" si="6"/>
        <v>22500</v>
      </c>
      <c r="G97" s="120">
        <f t="shared" si="7"/>
        <v>0.005294117647058823</v>
      </c>
      <c r="H97" s="110">
        <f t="shared" si="8"/>
        <v>119.11764705882352</v>
      </c>
    </row>
    <row r="98" spans="1:8" ht="15.75">
      <c r="A98" s="109" t="s">
        <v>83</v>
      </c>
      <c r="B98" s="110">
        <v>12000</v>
      </c>
      <c r="C98" s="110"/>
      <c r="D98" s="110">
        <f t="shared" si="9"/>
        <v>37500</v>
      </c>
      <c r="E98" s="110">
        <v>40000</v>
      </c>
      <c r="F98" s="110">
        <f t="shared" si="6"/>
        <v>89500</v>
      </c>
      <c r="G98" s="120">
        <f t="shared" si="7"/>
        <v>0.005294117647058823</v>
      </c>
      <c r="H98" s="110">
        <f t="shared" si="8"/>
        <v>473.8235294117647</v>
      </c>
    </row>
    <row r="99" spans="1:8" ht="15.75">
      <c r="A99" s="111" t="s">
        <v>55</v>
      </c>
      <c r="B99" s="112">
        <f>SUM(B90:B98)</f>
        <v>50000</v>
      </c>
      <c r="C99" s="112">
        <f>SUM(C90:C98)</f>
        <v>340000</v>
      </c>
      <c r="D99" s="112">
        <f>SUM(D90:D98)</f>
        <v>250000</v>
      </c>
      <c r="E99" s="112">
        <f>SUM(E90:E98)</f>
        <v>40000</v>
      </c>
      <c r="F99" s="112">
        <f>SUM(F90:F98)</f>
        <v>680000</v>
      </c>
      <c r="G99" s="109"/>
      <c r="H99" s="112">
        <f>SUM(H90:H98)</f>
        <v>3600</v>
      </c>
    </row>
    <row r="100" spans="6:8" ht="15.75">
      <c r="F100" s="40"/>
      <c r="H100" s="40"/>
    </row>
    <row r="102" spans="1:8" ht="15.75">
      <c r="A102" s="100" t="s">
        <v>98</v>
      </c>
      <c r="B102" s="100"/>
      <c r="C102" s="100"/>
      <c r="D102" s="102"/>
      <c r="E102" s="102"/>
      <c r="F102" s="102"/>
      <c r="G102" s="102"/>
      <c r="H102" s="102"/>
    </row>
    <row r="103" spans="1:6" ht="15.75">
      <c r="A103" s="16" t="s">
        <v>236</v>
      </c>
      <c r="B103" s="16"/>
      <c r="C103" s="16"/>
      <c r="D103" s="16"/>
      <c r="E103" s="16"/>
      <c r="F103" s="16"/>
    </row>
    <row r="104" spans="1:6" ht="15.75">
      <c r="A104" s="16" t="s">
        <v>77</v>
      </c>
      <c r="B104" s="16">
        <f>80*22.4/1.12</f>
        <v>1599.9999999999998</v>
      </c>
      <c r="C104" s="16" t="s">
        <v>78</v>
      </c>
      <c r="D104" s="16"/>
      <c r="E104" s="16"/>
      <c r="F104" s="16"/>
    </row>
    <row r="105" spans="1:6" ht="15.75">
      <c r="A105" s="16"/>
      <c r="B105" s="16"/>
      <c r="C105" s="16"/>
      <c r="D105" s="16"/>
      <c r="E105" s="16"/>
      <c r="F105" s="16"/>
    </row>
    <row r="106" spans="1:6" ht="15.75">
      <c r="A106" s="107" t="s">
        <v>56</v>
      </c>
      <c r="B106" s="107" t="s">
        <v>63</v>
      </c>
      <c r="C106" s="107" t="s">
        <v>64</v>
      </c>
      <c r="D106" s="130"/>
      <c r="E106" s="16"/>
      <c r="F106" s="16"/>
    </row>
    <row r="107" spans="1:6" ht="15.75">
      <c r="A107" s="109" t="s">
        <v>51</v>
      </c>
      <c r="B107" s="131">
        <v>0.5</v>
      </c>
      <c r="C107" s="110">
        <f>B104*B107</f>
        <v>799.9999999999999</v>
      </c>
      <c r="D107" s="132"/>
      <c r="E107" s="16"/>
      <c r="F107" s="16"/>
    </row>
    <row r="108" spans="1:6" ht="15.75">
      <c r="A108" s="109" t="s">
        <v>79</v>
      </c>
      <c r="B108" s="131">
        <v>0.25</v>
      </c>
      <c r="C108" s="110">
        <f>B104*B108</f>
        <v>399.99999999999994</v>
      </c>
      <c r="D108" s="132"/>
      <c r="E108" s="16"/>
      <c r="F108" s="16"/>
    </row>
    <row r="109" spans="1:6" ht="15.75">
      <c r="A109" s="109" t="s">
        <v>80</v>
      </c>
      <c r="B109" s="131">
        <v>0.25</v>
      </c>
      <c r="C109" s="110">
        <f>B104*B109</f>
        <v>399.99999999999994</v>
      </c>
      <c r="D109" s="16"/>
      <c r="E109" s="16"/>
      <c r="F109" s="16"/>
    </row>
    <row r="110" spans="1:6" ht="15.75">
      <c r="A110" s="111" t="s">
        <v>55</v>
      </c>
      <c r="B110" s="133">
        <f>SUM(B107:B109)</f>
        <v>1</v>
      </c>
      <c r="C110" s="112">
        <f>SUM(C107:C109)</f>
        <v>1599.9999999999998</v>
      </c>
      <c r="D110" s="124"/>
      <c r="E110" s="16"/>
      <c r="F110" s="16"/>
    </row>
    <row r="113" spans="1:8" ht="15.75">
      <c r="A113" s="99" t="s">
        <v>86</v>
      </c>
      <c r="B113" s="99"/>
      <c r="C113" s="99"/>
      <c r="D113" s="99"/>
      <c r="E113" s="99"/>
      <c r="F113" s="99"/>
      <c r="G113" s="99"/>
      <c r="H113" s="99"/>
    </row>
    <row r="115" spans="1:12" ht="15.75">
      <c r="A115" s="100" t="s">
        <v>67</v>
      </c>
      <c r="B115" s="100"/>
      <c r="C115" s="100"/>
      <c r="D115" s="100"/>
      <c r="E115" s="91"/>
      <c r="F115" s="91"/>
      <c r="G115" s="91"/>
      <c r="H115" s="91"/>
      <c r="I115" s="91"/>
      <c r="J115" s="91"/>
      <c r="K115" s="91"/>
      <c r="L115" s="91"/>
    </row>
    <row r="116" spans="1:12" ht="15.75">
      <c r="A116" s="114" t="s">
        <v>237</v>
      </c>
      <c r="B116" s="114"/>
      <c r="C116" s="114"/>
      <c r="D116" s="114"/>
      <c r="E116" s="91"/>
      <c r="F116" s="91"/>
      <c r="G116" s="91"/>
      <c r="H116" s="91"/>
      <c r="I116" s="91"/>
      <c r="J116" s="91"/>
      <c r="K116" s="91"/>
      <c r="L116" s="91"/>
    </row>
    <row r="117" spans="1:8" ht="15.75">
      <c r="A117" s="16" t="s">
        <v>238</v>
      </c>
      <c r="B117" s="16"/>
      <c r="C117" s="16"/>
      <c r="D117" s="16"/>
      <c r="E117" s="16"/>
      <c r="F117" s="16"/>
      <c r="G117" s="16"/>
      <c r="H117" s="16"/>
    </row>
    <row r="118" spans="1:12" ht="15.75">
      <c r="A118" s="114" t="s">
        <v>145</v>
      </c>
      <c r="B118" s="114"/>
      <c r="C118" s="115">
        <f>'GTOS. FAB.'!I37/('GTOS. FAB.'!L12-'GTOS. FAB.'!I12)</f>
        <v>325.7319824103598</v>
      </c>
      <c r="D118" s="114"/>
      <c r="E118" s="91"/>
      <c r="F118" s="91"/>
      <c r="G118" s="91"/>
      <c r="H118" s="91"/>
      <c r="I118" s="91"/>
      <c r="J118" s="91"/>
      <c r="K118" s="91"/>
      <c r="L118" s="91"/>
    </row>
    <row r="119" spans="1:12" ht="15.75">
      <c r="A119" s="114"/>
      <c r="B119" s="114"/>
      <c r="C119" s="114"/>
      <c r="D119" s="114"/>
      <c r="E119" s="91"/>
      <c r="F119" s="91"/>
      <c r="G119" s="91"/>
      <c r="H119" s="91"/>
      <c r="I119" s="91"/>
      <c r="J119" s="91"/>
      <c r="K119" s="91"/>
      <c r="L119" s="91"/>
    </row>
    <row r="120" spans="1:12" ht="31.5">
      <c r="A120" s="134" t="s">
        <v>56</v>
      </c>
      <c r="B120" s="135" t="s">
        <v>92</v>
      </c>
      <c r="C120" s="136" t="s">
        <v>87</v>
      </c>
      <c r="D120" s="134" t="s">
        <v>88</v>
      </c>
      <c r="E120" s="91"/>
      <c r="F120" s="91"/>
      <c r="G120" s="91"/>
      <c r="H120" s="91"/>
      <c r="I120" s="91"/>
      <c r="J120" s="91"/>
      <c r="K120" s="91"/>
      <c r="L120" s="91"/>
    </row>
    <row r="121" spans="1:12" ht="15.75">
      <c r="A121" s="109" t="s">
        <v>51</v>
      </c>
      <c r="B121" s="137">
        <f>'GTOS. FAB.'!B12</f>
        <v>17</v>
      </c>
      <c r="C121" s="138">
        <f>C118</f>
        <v>325.7319824103598</v>
      </c>
      <c r="D121" s="139">
        <f aca="true" t="shared" si="10" ref="D121:D128">B121*C121</f>
        <v>5537.443700976117</v>
      </c>
      <c r="E121" s="91"/>
      <c r="F121" s="91"/>
      <c r="G121" s="91"/>
      <c r="H121" s="91"/>
      <c r="I121" s="91"/>
      <c r="J121" s="91"/>
      <c r="K121" s="91"/>
      <c r="L121" s="91"/>
    </row>
    <row r="122" spans="1:12" ht="15.75">
      <c r="A122" s="109" t="s">
        <v>79</v>
      </c>
      <c r="B122" s="137">
        <f>'GTOS. FAB.'!C12</f>
        <v>11</v>
      </c>
      <c r="C122" s="138">
        <f>C121</f>
        <v>325.7319824103598</v>
      </c>
      <c r="D122" s="139">
        <f t="shared" si="10"/>
        <v>3583.051806513958</v>
      </c>
      <c r="E122" s="91"/>
      <c r="F122" s="91"/>
      <c r="G122" s="91"/>
      <c r="H122" s="91"/>
      <c r="I122" s="91"/>
      <c r="J122" s="91"/>
      <c r="K122" s="91"/>
      <c r="L122" s="91"/>
    </row>
    <row r="123" spans="1:12" ht="15.75">
      <c r="A123" s="109" t="s">
        <v>53</v>
      </c>
      <c r="B123" s="137">
        <f>'GTOS. FAB.'!D12</f>
        <v>7</v>
      </c>
      <c r="C123" s="138">
        <f aca="true" t="shared" si="11" ref="C123:C128">C122</f>
        <v>325.7319824103598</v>
      </c>
      <c r="D123" s="139">
        <f t="shared" si="10"/>
        <v>2280.123876872519</v>
      </c>
      <c r="E123" s="91"/>
      <c r="F123" s="91"/>
      <c r="G123" s="91"/>
      <c r="H123" s="91"/>
      <c r="I123" s="91"/>
      <c r="J123" s="91"/>
      <c r="K123" s="91"/>
      <c r="L123" s="91"/>
    </row>
    <row r="124" spans="1:12" ht="15.75">
      <c r="A124" s="109" t="s">
        <v>61</v>
      </c>
      <c r="B124" s="137">
        <f>'GTOS. FAB.'!E12</f>
        <v>3</v>
      </c>
      <c r="C124" s="138">
        <f t="shared" si="11"/>
        <v>325.7319824103598</v>
      </c>
      <c r="D124" s="139">
        <f t="shared" si="10"/>
        <v>977.1959472310795</v>
      </c>
      <c r="E124" s="91"/>
      <c r="F124" s="91"/>
      <c r="G124" s="91"/>
      <c r="H124" s="91"/>
      <c r="I124" s="91"/>
      <c r="J124" s="91"/>
      <c r="K124" s="91"/>
      <c r="L124" s="91"/>
    </row>
    <row r="125" spans="1:12" ht="15.75">
      <c r="A125" s="109" t="s">
        <v>80</v>
      </c>
      <c r="B125" s="137">
        <f>'GTOS. FAB.'!F12</f>
        <v>4</v>
      </c>
      <c r="C125" s="138">
        <f t="shared" si="11"/>
        <v>325.7319824103598</v>
      </c>
      <c r="D125" s="140">
        <f t="shared" si="10"/>
        <v>1302.9279296414393</v>
      </c>
      <c r="E125" s="91"/>
      <c r="F125" s="91"/>
      <c r="G125" s="91"/>
      <c r="H125" s="91"/>
      <c r="I125" s="91"/>
      <c r="J125" s="91"/>
      <c r="K125" s="91"/>
      <c r="L125" s="91"/>
    </row>
    <row r="126" spans="1:12" ht="15.75">
      <c r="A126" s="109" t="s">
        <v>100</v>
      </c>
      <c r="B126" s="137">
        <f>'GTOS. FAB.'!G12</f>
        <v>2</v>
      </c>
      <c r="C126" s="138">
        <f t="shared" si="11"/>
        <v>325.7319824103598</v>
      </c>
      <c r="D126" s="139">
        <f t="shared" si="10"/>
        <v>651.4639648207196</v>
      </c>
      <c r="E126" s="91"/>
      <c r="F126" s="91"/>
      <c r="G126" s="91"/>
      <c r="H126" s="91"/>
      <c r="I126" s="91"/>
      <c r="J126" s="91"/>
      <c r="K126" s="91"/>
      <c r="L126" s="91"/>
    </row>
    <row r="127" spans="1:12" ht="15.75">
      <c r="A127" s="109" t="s">
        <v>62</v>
      </c>
      <c r="B127" s="137">
        <f>'GTOS. FAB.'!H12</f>
        <v>3</v>
      </c>
      <c r="C127" s="138">
        <f t="shared" si="11"/>
        <v>325.7319824103598</v>
      </c>
      <c r="D127" s="139">
        <f t="shared" si="10"/>
        <v>977.1959472310795</v>
      </c>
      <c r="E127" s="91"/>
      <c r="F127" s="91"/>
      <c r="G127" s="91"/>
      <c r="H127" s="91"/>
      <c r="I127" s="91"/>
      <c r="J127" s="91"/>
      <c r="K127" s="91"/>
      <c r="L127" s="91"/>
    </row>
    <row r="128" spans="1:12" ht="15.75">
      <c r="A128" s="109" t="s">
        <v>83</v>
      </c>
      <c r="B128" s="137">
        <f>'GTOS. FAB.'!K12</f>
        <v>4</v>
      </c>
      <c r="C128" s="138">
        <f t="shared" si="11"/>
        <v>325.7319824103598</v>
      </c>
      <c r="D128" s="139">
        <f t="shared" si="10"/>
        <v>1302.9279296414393</v>
      </c>
      <c r="E128" s="91"/>
      <c r="F128" s="141"/>
      <c r="G128" s="141"/>
      <c r="H128" s="91"/>
      <c r="I128" s="91"/>
      <c r="J128" s="91"/>
      <c r="K128" s="91"/>
      <c r="L128" s="91"/>
    </row>
    <row r="129" spans="1:12" ht="15.75">
      <c r="A129" s="134" t="s">
        <v>55</v>
      </c>
      <c r="B129" s="142">
        <f>SUM(B121:B128)</f>
        <v>51</v>
      </c>
      <c r="C129" s="143"/>
      <c r="D129" s="144">
        <f>SUM(D121:D128)</f>
        <v>16612.33110292835</v>
      </c>
      <c r="E129" s="91"/>
      <c r="F129" s="91"/>
      <c r="G129" s="91"/>
      <c r="H129" s="91"/>
      <c r="I129" s="91"/>
      <c r="J129" s="91"/>
      <c r="K129" s="91"/>
      <c r="L129" s="91"/>
    </row>
    <row r="130" spans="1:12" ht="15.75">
      <c r="A130" s="117"/>
      <c r="B130" s="145"/>
      <c r="C130" s="114"/>
      <c r="D130" s="145"/>
      <c r="E130" s="91"/>
      <c r="F130" s="91"/>
      <c r="G130" s="91"/>
      <c r="H130" s="91"/>
      <c r="I130" s="91"/>
      <c r="J130" s="91"/>
      <c r="K130" s="91"/>
      <c r="L130" s="91"/>
    </row>
    <row r="131" spans="1:12" ht="15.75">
      <c r="A131" s="117"/>
      <c r="B131" s="145"/>
      <c r="C131" s="114"/>
      <c r="D131" s="145"/>
      <c r="E131" s="91"/>
      <c r="F131" s="91"/>
      <c r="G131" s="91"/>
      <c r="H131" s="91"/>
      <c r="I131" s="91"/>
      <c r="J131" s="91"/>
      <c r="K131" s="91"/>
      <c r="L131" s="91"/>
    </row>
    <row r="132" spans="1:12" ht="15.75">
      <c r="A132" s="100" t="s">
        <v>68</v>
      </c>
      <c r="B132" s="100"/>
      <c r="C132" s="100"/>
      <c r="D132" s="100"/>
      <c r="E132" s="91"/>
      <c r="F132" s="91"/>
      <c r="G132" s="91"/>
      <c r="H132" s="91"/>
      <c r="I132" s="91"/>
      <c r="J132" s="91"/>
      <c r="K132" s="91"/>
      <c r="L132" s="91"/>
    </row>
    <row r="133" spans="1:12" ht="15.75">
      <c r="A133" s="114" t="s">
        <v>239</v>
      </c>
      <c r="B133" s="114"/>
      <c r="C133" s="114"/>
      <c r="D133" s="114"/>
      <c r="E133" s="91"/>
      <c r="F133" s="91"/>
      <c r="G133" s="91"/>
      <c r="H133" s="91"/>
      <c r="I133" s="91"/>
      <c r="J133" s="91"/>
      <c r="K133" s="91"/>
      <c r="L133" s="91"/>
    </row>
    <row r="134" spans="1:8" ht="15.75">
      <c r="A134" s="16" t="s">
        <v>240</v>
      </c>
      <c r="B134" s="16"/>
      <c r="C134" s="16"/>
      <c r="D134" s="16"/>
      <c r="E134" s="16"/>
      <c r="F134" s="16"/>
      <c r="G134" s="16"/>
      <c r="H134" s="16"/>
    </row>
    <row r="135" spans="1:12" ht="18">
      <c r="A135" s="146" t="s">
        <v>241</v>
      </c>
      <c r="B135" s="114"/>
      <c r="C135" s="147">
        <f>('GTOS. FAB.'!H37+'GTOS. FAB.'!H42)/B145</f>
        <v>9.258016665701962</v>
      </c>
      <c r="D135" s="114"/>
      <c r="E135" s="91"/>
      <c r="F135" s="91"/>
      <c r="G135" s="91"/>
      <c r="H135" s="91"/>
      <c r="I135" s="91"/>
      <c r="J135" s="91"/>
      <c r="K135" s="91"/>
      <c r="L135" s="91"/>
    </row>
    <row r="136" spans="1:12" ht="15.75">
      <c r="A136" s="114"/>
      <c r="B136" s="114"/>
      <c r="C136" s="114"/>
      <c r="D136" s="114"/>
      <c r="E136" s="91"/>
      <c r="F136" s="91"/>
      <c r="G136" s="91"/>
      <c r="H136" s="91"/>
      <c r="I136" s="91"/>
      <c r="J136" s="91"/>
      <c r="K136" s="91"/>
      <c r="L136" s="91"/>
    </row>
    <row r="137" spans="1:12" ht="18">
      <c r="A137" s="134" t="s">
        <v>47</v>
      </c>
      <c r="B137" s="136" t="s">
        <v>227</v>
      </c>
      <c r="C137" s="136" t="s">
        <v>49</v>
      </c>
      <c r="D137" s="136" t="s">
        <v>65</v>
      </c>
      <c r="E137" s="91"/>
      <c r="F137" s="91"/>
      <c r="G137" s="91"/>
      <c r="H137" s="91"/>
      <c r="I137" s="91"/>
      <c r="J137" s="91"/>
      <c r="K137" s="91"/>
      <c r="L137" s="91"/>
    </row>
    <row r="138" spans="1:12" ht="15.75">
      <c r="A138" s="109" t="s">
        <v>51</v>
      </c>
      <c r="B138" s="148">
        <f>'GTOS. FAB.'!B18</f>
        <v>200</v>
      </c>
      <c r="C138" s="149">
        <f>C135</f>
        <v>9.258016665701962</v>
      </c>
      <c r="D138" s="139">
        <f>B138*C138</f>
        <v>1851.6033331403926</v>
      </c>
      <c r="E138" s="91"/>
      <c r="F138" s="91"/>
      <c r="G138" s="91"/>
      <c r="H138" s="91"/>
      <c r="I138" s="91"/>
      <c r="J138" s="91"/>
      <c r="K138" s="91"/>
      <c r="L138" s="91"/>
    </row>
    <row r="139" spans="1:12" ht="15.75">
      <c r="A139" s="109" t="s">
        <v>79</v>
      </c>
      <c r="B139" s="148">
        <f>'GTOS. FAB.'!C18</f>
        <v>400</v>
      </c>
      <c r="C139" s="149">
        <f aca="true" t="shared" si="12" ref="C139:C144">C138</f>
        <v>9.258016665701962</v>
      </c>
      <c r="D139" s="139">
        <f aca="true" t="shared" si="13" ref="D139:D144">B139*C139</f>
        <v>3703.206666280785</v>
      </c>
      <c r="E139" s="91"/>
      <c r="F139" s="91"/>
      <c r="G139" s="91"/>
      <c r="H139" s="91"/>
      <c r="I139" s="91"/>
      <c r="J139" s="91"/>
      <c r="K139" s="91"/>
      <c r="L139" s="91"/>
    </row>
    <row r="140" spans="1:12" ht="15.75">
      <c r="A140" s="109" t="s">
        <v>53</v>
      </c>
      <c r="B140" s="148">
        <f>'GTOS. FAB.'!D18</f>
        <v>300</v>
      </c>
      <c r="C140" s="149">
        <f t="shared" si="12"/>
        <v>9.258016665701962</v>
      </c>
      <c r="D140" s="139">
        <f t="shared" si="13"/>
        <v>2777.4049997105885</v>
      </c>
      <c r="E140" s="91"/>
      <c r="F140" s="91"/>
      <c r="G140" s="91"/>
      <c r="H140" s="91"/>
      <c r="I140" s="91"/>
      <c r="J140" s="91"/>
      <c r="K140" s="91"/>
      <c r="L140" s="91"/>
    </row>
    <row r="141" spans="1:12" ht="15.75">
      <c r="A141" s="109" t="s">
        <v>61</v>
      </c>
      <c r="B141" s="148">
        <f>'GTOS. FAB.'!E18</f>
        <v>200</v>
      </c>
      <c r="C141" s="149">
        <f t="shared" si="12"/>
        <v>9.258016665701962</v>
      </c>
      <c r="D141" s="139">
        <f t="shared" si="13"/>
        <v>1851.6033331403926</v>
      </c>
      <c r="E141" s="91"/>
      <c r="F141" s="91"/>
      <c r="G141" s="91"/>
      <c r="H141" s="91"/>
      <c r="I141" s="91"/>
      <c r="J141" s="91"/>
      <c r="K141" s="91"/>
      <c r="L141" s="91"/>
    </row>
    <row r="142" spans="1:12" ht="15.75">
      <c r="A142" s="109" t="s">
        <v>80</v>
      </c>
      <c r="B142" s="148">
        <f>'GTOS. FAB.'!F18</f>
        <v>100</v>
      </c>
      <c r="C142" s="149">
        <f t="shared" si="12"/>
        <v>9.258016665701962</v>
      </c>
      <c r="D142" s="139">
        <f t="shared" si="13"/>
        <v>925.8016665701963</v>
      </c>
      <c r="E142" s="91"/>
      <c r="F142" s="91"/>
      <c r="G142" s="91"/>
      <c r="H142" s="91"/>
      <c r="I142" s="91"/>
      <c r="J142" s="91"/>
      <c r="K142" s="91"/>
      <c r="L142" s="91"/>
    </row>
    <row r="143" spans="1:12" ht="15.75">
      <c r="A143" s="109" t="s">
        <v>100</v>
      </c>
      <c r="B143" s="148">
        <f>'GTOS. FAB.'!G18</f>
        <v>300</v>
      </c>
      <c r="C143" s="149">
        <f t="shared" si="12"/>
        <v>9.258016665701962</v>
      </c>
      <c r="D143" s="139">
        <f t="shared" si="13"/>
        <v>2777.4049997105885</v>
      </c>
      <c r="E143" s="91"/>
      <c r="F143" s="91"/>
      <c r="G143" s="91"/>
      <c r="H143" s="91"/>
      <c r="I143" s="91"/>
      <c r="J143" s="91"/>
      <c r="K143" s="91"/>
      <c r="L143" s="91"/>
    </row>
    <row r="144" spans="1:12" ht="15.75">
      <c r="A144" s="109" t="s">
        <v>83</v>
      </c>
      <c r="B144" s="148">
        <f>'GTOS. FAB.'!K18</f>
        <v>300</v>
      </c>
      <c r="C144" s="149">
        <f t="shared" si="12"/>
        <v>9.258016665701962</v>
      </c>
      <c r="D144" s="139">
        <f t="shared" si="13"/>
        <v>2777.4049997105885</v>
      </c>
      <c r="E144" s="91"/>
      <c r="F144" s="141"/>
      <c r="G144" s="91"/>
      <c r="H144" s="91"/>
      <c r="I144" s="91"/>
      <c r="J144" s="91"/>
      <c r="K144" s="91"/>
      <c r="L144" s="91"/>
    </row>
    <row r="145" spans="1:12" ht="15.75">
      <c r="A145" s="134" t="s">
        <v>55</v>
      </c>
      <c r="B145" s="142">
        <f>SUM(B138:B144)</f>
        <v>1800</v>
      </c>
      <c r="C145" s="143"/>
      <c r="D145" s="144">
        <f>SUM(D138:D144)</f>
        <v>16664.429998263535</v>
      </c>
      <c r="E145" s="91"/>
      <c r="F145" s="91"/>
      <c r="G145" s="91"/>
      <c r="H145" s="91"/>
      <c r="I145" s="91"/>
      <c r="J145" s="91"/>
      <c r="K145" s="91"/>
      <c r="L145" s="91"/>
    </row>
    <row r="146" spans="1:12" ht="15.75">
      <c r="A146" s="117"/>
      <c r="B146" s="145"/>
      <c r="C146" s="114"/>
      <c r="D146" s="145"/>
      <c r="E146" s="91"/>
      <c r="F146" s="91"/>
      <c r="G146" s="91"/>
      <c r="H146" s="91"/>
      <c r="I146" s="91"/>
      <c r="J146" s="91"/>
      <c r="K146" s="91"/>
      <c r="L146" s="91"/>
    </row>
    <row r="147" spans="1:12" ht="15.75">
      <c r="A147" s="117"/>
      <c r="B147" s="145"/>
      <c r="C147" s="114"/>
      <c r="D147" s="145"/>
      <c r="E147" s="91"/>
      <c r="F147" s="91"/>
      <c r="G147" s="91"/>
      <c r="H147" s="91"/>
      <c r="I147" s="91"/>
      <c r="J147" s="91"/>
      <c r="K147" s="91"/>
      <c r="L147" s="91"/>
    </row>
    <row r="148" spans="1:12" ht="15.75">
      <c r="A148" s="100" t="s">
        <v>69</v>
      </c>
      <c r="B148" s="100"/>
      <c r="C148" s="100"/>
      <c r="D148" s="100"/>
      <c r="E148" s="91"/>
      <c r="F148" s="91"/>
      <c r="G148" s="91"/>
      <c r="H148" s="91"/>
      <c r="I148" s="91"/>
      <c r="J148" s="91"/>
      <c r="K148" s="91"/>
      <c r="L148" s="91"/>
    </row>
    <row r="149" spans="1:12" ht="15.75">
      <c r="A149" s="114" t="s">
        <v>242</v>
      </c>
      <c r="B149" s="114"/>
      <c r="C149" s="114"/>
      <c r="D149" s="114"/>
      <c r="E149" s="91"/>
      <c r="F149" s="91"/>
      <c r="G149" s="91"/>
      <c r="H149" s="91"/>
      <c r="I149" s="91"/>
      <c r="J149" s="91"/>
      <c r="K149" s="91"/>
      <c r="L149" s="91"/>
    </row>
    <row r="150" spans="1:12" ht="15.75">
      <c r="A150" s="117" t="s">
        <v>243</v>
      </c>
      <c r="B150" s="114"/>
      <c r="C150" s="114"/>
      <c r="D150" s="114"/>
      <c r="E150" s="91"/>
      <c r="F150" s="91"/>
      <c r="G150" s="91"/>
      <c r="H150" s="91"/>
      <c r="I150" s="91"/>
      <c r="J150" s="91"/>
      <c r="K150" s="91"/>
      <c r="L150" s="91"/>
    </row>
    <row r="151" spans="1:12" ht="15.75">
      <c r="A151" s="150" t="s">
        <v>244</v>
      </c>
      <c r="B151" s="96"/>
      <c r="C151" s="151">
        <v>27.54386475200095</v>
      </c>
      <c r="D151" s="96"/>
      <c r="E151" s="91"/>
      <c r="F151" s="91"/>
      <c r="G151" s="91"/>
      <c r="H151" s="91"/>
      <c r="I151" s="91"/>
      <c r="J151" s="91"/>
      <c r="K151" s="91"/>
      <c r="L151" s="91"/>
    </row>
    <row r="152" spans="1:12" ht="15.75">
      <c r="A152" s="96"/>
      <c r="B152" s="96"/>
      <c r="C152" s="96"/>
      <c r="D152" s="96"/>
      <c r="E152" s="91"/>
      <c r="F152" s="91"/>
      <c r="G152" s="91"/>
      <c r="H152" s="91"/>
      <c r="I152" s="91"/>
      <c r="J152" s="91"/>
      <c r="K152" s="91"/>
      <c r="L152" s="91"/>
    </row>
    <row r="153" spans="1:12" ht="15.75">
      <c r="A153" s="152" t="s">
        <v>47</v>
      </c>
      <c r="B153" s="153" t="s">
        <v>108</v>
      </c>
      <c r="C153" s="153" t="s">
        <v>89</v>
      </c>
      <c r="D153" s="153" t="s">
        <v>65</v>
      </c>
      <c r="E153" s="91"/>
      <c r="F153" s="91"/>
      <c r="G153" s="91"/>
      <c r="H153" s="154"/>
      <c r="I153" s="91"/>
      <c r="J153" s="91"/>
      <c r="K153" s="91"/>
      <c r="L153" s="91"/>
    </row>
    <row r="154" spans="1:12" ht="15.75">
      <c r="A154" s="155" t="s">
        <v>51</v>
      </c>
      <c r="B154" s="156">
        <v>325.6666666</v>
      </c>
      <c r="C154" s="157">
        <v>27.54386475200095</v>
      </c>
      <c r="D154" s="158">
        <v>8970.118618373168</v>
      </c>
      <c r="E154" s="91"/>
      <c r="F154" s="91"/>
      <c r="G154" s="91"/>
      <c r="H154" s="154"/>
      <c r="I154" s="91"/>
      <c r="J154" s="91"/>
      <c r="K154" s="91"/>
      <c r="L154" s="91"/>
    </row>
    <row r="155" spans="1:12" ht="15.75">
      <c r="A155" s="155" t="s">
        <v>79</v>
      </c>
      <c r="B155" s="156">
        <v>282.666666666666</v>
      </c>
      <c r="C155" s="157">
        <v>27.54386475200095</v>
      </c>
      <c r="D155" s="158">
        <v>7785.7324359647655</v>
      </c>
      <c r="E155" s="91"/>
      <c r="F155" s="91"/>
      <c r="G155" s="91"/>
      <c r="H155" s="91"/>
      <c r="I155" s="91"/>
      <c r="J155" s="91"/>
      <c r="K155" s="91"/>
      <c r="L155" s="91"/>
    </row>
    <row r="156" spans="1:12" ht="15.75">
      <c r="A156" s="155" t="s">
        <v>53</v>
      </c>
      <c r="B156" s="156">
        <v>225.66666666666</v>
      </c>
      <c r="C156" s="157">
        <v>27.54386475200095</v>
      </c>
      <c r="D156" s="158">
        <v>6215.732145221702</v>
      </c>
      <c r="E156" s="91"/>
      <c r="F156" s="91"/>
      <c r="G156" s="91"/>
      <c r="H156" s="91"/>
      <c r="I156" s="91"/>
      <c r="J156" s="91"/>
      <c r="K156" s="91"/>
      <c r="L156" s="91"/>
    </row>
    <row r="157" spans="1:12" ht="15.75">
      <c r="A157" s="155" t="s">
        <v>61</v>
      </c>
      <c r="B157" s="159">
        <v>30</v>
      </c>
      <c r="C157" s="157">
        <v>27.54386475200095</v>
      </c>
      <c r="D157" s="158">
        <v>826.3159424962624</v>
      </c>
      <c r="E157" s="91"/>
      <c r="F157" s="91"/>
      <c r="G157" s="91"/>
      <c r="H157" s="91"/>
      <c r="I157" s="91"/>
      <c r="J157" s="91"/>
      <c r="K157" s="91"/>
      <c r="L157" s="91"/>
    </row>
    <row r="158" spans="1:12" ht="15.75">
      <c r="A158" s="152" t="s">
        <v>90</v>
      </c>
      <c r="B158" s="160">
        <v>863.999999933326</v>
      </c>
      <c r="C158" s="155"/>
      <c r="D158" s="161">
        <v>23797.8991420559</v>
      </c>
      <c r="E158" s="91"/>
      <c r="F158" s="141"/>
      <c r="G158" s="91"/>
      <c r="H158" s="91"/>
      <c r="I158" s="91"/>
      <c r="J158" s="91"/>
      <c r="K158" s="91"/>
      <c r="L158" s="91"/>
    </row>
    <row r="159" spans="1:12" ht="15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1:12" ht="15.75">
      <c r="A160" s="16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1:7" ht="15.75">
      <c r="A161" s="100" t="s">
        <v>70</v>
      </c>
      <c r="B161" s="100"/>
      <c r="C161" s="100"/>
      <c r="D161" s="100"/>
      <c r="E161" s="101"/>
      <c r="F161" s="91"/>
      <c r="G161" s="91"/>
    </row>
    <row r="162" spans="1:7" ht="15.75">
      <c r="A162" s="114" t="s">
        <v>245</v>
      </c>
      <c r="B162" s="114"/>
      <c r="C162" s="114"/>
      <c r="D162" s="114"/>
      <c r="E162" s="114"/>
      <c r="F162" s="91"/>
      <c r="G162" s="91"/>
    </row>
    <row r="163" spans="1:7" ht="15.75">
      <c r="A163" s="114" t="s">
        <v>246</v>
      </c>
      <c r="B163" s="114"/>
      <c r="C163" s="114"/>
      <c r="D163" s="114"/>
      <c r="E163" s="114"/>
      <c r="F163" s="91"/>
      <c r="G163" s="91"/>
    </row>
    <row r="164" spans="1:7" ht="15.75">
      <c r="A164" s="150" t="s">
        <v>247</v>
      </c>
      <c r="B164" s="96"/>
      <c r="C164" s="72"/>
      <c r="D164" s="96">
        <f>('GTOS. FAB.'!E37+'GTOS. FAB.'!E42+'GTOS. FAB.'!E43+'GTOS. FAB.'!E44)/B170</f>
        <v>0.0314044250576073</v>
      </c>
      <c r="E164" s="114"/>
      <c r="F164" s="91"/>
      <c r="G164" s="91"/>
    </row>
    <row r="165" spans="1:7" ht="15.75">
      <c r="A165" s="96"/>
      <c r="B165" s="96"/>
      <c r="C165" s="96"/>
      <c r="D165" s="96"/>
      <c r="E165" s="114"/>
      <c r="F165" s="91"/>
      <c r="G165" s="91"/>
    </row>
    <row r="166" spans="1:7" ht="31.5">
      <c r="A166" s="152" t="s">
        <v>47</v>
      </c>
      <c r="B166" s="163" t="s">
        <v>91</v>
      </c>
      <c r="C166" s="153" t="s">
        <v>49</v>
      </c>
      <c r="D166" s="153" t="s">
        <v>88</v>
      </c>
      <c r="E166" s="164"/>
      <c r="F166" s="91"/>
      <c r="G166" s="91"/>
    </row>
    <row r="167" spans="1:7" ht="15.75">
      <c r="A167" s="155" t="s">
        <v>51</v>
      </c>
      <c r="B167" s="159">
        <v>240000</v>
      </c>
      <c r="C167" s="165">
        <f>D164</f>
        <v>0.0314044250576073</v>
      </c>
      <c r="D167" s="158">
        <f>B167*C167</f>
        <v>7537.062013825752</v>
      </c>
      <c r="E167" s="118"/>
      <c r="F167" s="91"/>
      <c r="G167" s="91"/>
    </row>
    <row r="168" spans="1:7" ht="15.75">
      <c r="A168" s="155" t="s">
        <v>79</v>
      </c>
      <c r="B168" s="159">
        <v>228000</v>
      </c>
      <c r="C168" s="165">
        <f>C167</f>
        <v>0.0314044250576073</v>
      </c>
      <c r="D168" s="158">
        <f>B168*C168</f>
        <v>7160.208913134465</v>
      </c>
      <c r="E168" s="114"/>
      <c r="F168" s="91"/>
      <c r="G168" s="91"/>
    </row>
    <row r="169" spans="1:7" ht="15.75">
      <c r="A169" s="155" t="s">
        <v>53</v>
      </c>
      <c r="B169" s="159">
        <v>216000</v>
      </c>
      <c r="C169" s="165">
        <f>C168</f>
        <v>0.0314044250576073</v>
      </c>
      <c r="D169" s="158">
        <f>B169*C169</f>
        <v>6783.355812443177</v>
      </c>
      <c r="E169" s="114"/>
      <c r="F169" s="91"/>
      <c r="G169" s="91"/>
    </row>
    <row r="170" spans="1:7" ht="15.75">
      <c r="A170" s="152" t="s">
        <v>55</v>
      </c>
      <c r="B170" s="153">
        <f>SUM(B167:B169)</f>
        <v>684000</v>
      </c>
      <c r="C170" s="166"/>
      <c r="D170" s="161">
        <f>SUM(D167:D169)</f>
        <v>21480.626739403393</v>
      </c>
      <c r="E170" s="114"/>
      <c r="F170" s="91"/>
      <c r="G170" s="91"/>
    </row>
    <row r="171" spans="1:7" ht="15.75">
      <c r="A171" s="91"/>
      <c r="B171" s="91"/>
      <c r="C171" s="91"/>
      <c r="D171" s="91"/>
      <c r="E171" s="91"/>
      <c r="F171" s="91"/>
      <c r="G171" s="91"/>
    </row>
    <row r="172" spans="1:12" ht="15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1:12" ht="15.75">
      <c r="A173" s="100" t="s">
        <v>71</v>
      </c>
      <c r="B173" s="100"/>
      <c r="C173" s="100"/>
      <c r="D173" s="100"/>
      <c r="E173" s="91"/>
      <c r="F173" s="91"/>
      <c r="G173" s="91"/>
      <c r="H173" s="91"/>
      <c r="I173" s="91"/>
      <c r="J173" s="91"/>
      <c r="K173" s="91"/>
      <c r="L173" s="91"/>
    </row>
    <row r="174" spans="1:11" ht="15.75">
      <c r="A174" s="114" t="s">
        <v>248</v>
      </c>
      <c r="B174" s="114"/>
      <c r="C174" s="114"/>
      <c r="D174" s="114"/>
      <c r="E174" s="91"/>
      <c r="F174" s="91"/>
      <c r="G174" s="91"/>
      <c r="H174" s="91"/>
      <c r="I174" s="91"/>
      <c r="J174" s="91"/>
      <c r="K174" s="91"/>
    </row>
    <row r="175" spans="1:7" ht="15.75">
      <c r="A175" s="16" t="s">
        <v>249</v>
      </c>
      <c r="B175" s="16"/>
      <c r="C175" s="16"/>
      <c r="D175" s="16"/>
      <c r="E175" s="16"/>
      <c r="F175" s="16"/>
      <c r="G175" s="16"/>
    </row>
    <row r="176" spans="1:11" ht="15.75">
      <c r="A176" s="150" t="s">
        <v>250</v>
      </c>
      <c r="B176" s="96"/>
      <c r="C176" s="151">
        <f>('GTOS. FAB.'!G37+'GTOS. FAB.'!G42+'GTOS. FAB.'!G43)/B182</f>
        <v>0.020960215453498313</v>
      </c>
      <c r="D176" s="96"/>
      <c r="E176" s="91"/>
      <c r="F176" s="91"/>
      <c r="G176" s="91"/>
      <c r="H176" s="91"/>
      <c r="I176" s="91"/>
      <c r="J176" s="91"/>
      <c r="K176" s="91"/>
    </row>
    <row r="177" spans="1:11" ht="15.75">
      <c r="A177" s="96"/>
      <c r="B177" s="96"/>
      <c r="C177" s="96"/>
      <c r="D177" s="96"/>
      <c r="E177" s="91"/>
      <c r="F177" s="91"/>
      <c r="G177" s="91"/>
      <c r="H177" s="91"/>
      <c r="I177" s="91"/>
      <c r="J177" s="91"/>
      <c r="K177" s="91"/>
    </row>
    <row r="178" spans="1:11" ht="15.75">
      <c r="A178" s="152" t="s">
        <v>47</v>
      </c>
      <c r="B178" s="153" t="s">
        <v>109</v>
      </c>
      <c r="C178" s="153" t="s">
        <v>89</v>
      </c>
      <c r="D178" s="153" t="s">
        <v>65</v>
      </c>
      <c r="E178" s="91"/>
      <c r="F178" s="91"/>
      <c r="G178" s="154"/>
      <c r="H178" s="91"/>
      <c r="I178" s="91"/>
      <c r="J178" s="91"/>
      <c r="K178" s="91"/>
    </row>
    <row r="179" spans="1:11" ht="15.75">
      <c r="A179" s="155" t="s">
        <v>51</v>
      </c>
      <c r="B179" s="167">
        <v>304975</v>
      </c>
      <c r="C179" s="168">
        <f>C176</f>
        <v>0.020960215453498313</v>
      </c>
      <c r="D179" s="158">
        <f>B179*C179</f>
        <v>6392.341707930648</v>
      </c>
      <c r="E179" s="91"/>
      <c r="F179" s="91"/>
      <c r="G179" s="154"/>
      <c r="H179" s="91"/>
      <c r="I179" s="91"/>
      <c r="J179" s="91"/>
      <c r="K179" s="91"/>
    </row>
    <row r="180" spans="1:11" ht="15.75">
      <c r="A180" s="155" t="s">
        <v>79</v>
      </c>
      <c r="B180" s="167">
        <v>333625</v>
      </c>
      <c r="C180" s="168">
        <f>C179</f>
        <v>0.020960215453498313</v>
      </c>
      <c r="D180" s="158">
        <f>B180*C180</f>
        <v>6992.851880673375</v>
      </c>
      <c r="E180" s="91"/>
      <c r="F180" s="91"/>
      <c r="G180" s="91"/>
      <c r="H180" s="91"/>
      <c r="I180" s="91"/>
      <c r="J180" s="91"/>
      <c r="K180" s="91"/>
    </row>
    <row r="181" spans="1:11" ht="15.75">
      <c r="A181" s="155" t="s">
        <v>53</v>
      </c>
      <c r="B181" s="167">
        <v>64500</v>
      </c>
      <c r="C181" s="168">
        <f>C180</f>
        <v>0.020960215453498313</v>
      </c>
      <c r="D181" s="158">
        <f>B181*C181</f>
        <v>1351.9338967506412</v>
      </c>
      <c r="E181" s="91"/>
      <c r="F181" s="91"/>
      <c r="G181" s="91"/>
      <c r="H181" s="91"/>
      <c r="I181" s="91"/>
      <c r="J181" s="91"/>
      <c r="K181" s="91"/>
    </row>
    <row r="182" spans="1:11" ht="15.75">
      <c r="A182" s="152" t="s">
        <v>55</v>
      </c>
      <c r="B182" s="167">
        <f>SUM(B179:B181)</f>
        <v>703100</v>
      </c>
      <c r="C182" s="155"/>
      <c r="D182" s="161">
        <f>SUM(D179:D181)</f>
        <v>14737.127485354664</v>
      </c>
      <c r="E182" s="91"/>
      <c r="F182" s="91"/>
      <c r="G182" s="91"/>
      <c r="H182" s="91"/>
      <c r="I182" s="91"/>
      <c r="J182" s="91"/>
      <c r="K182" s="91"/>
    </row>
    <row r="183" spans="1:11" ht="15.75">
      <c r="A183" s="117"/>
      <c r="B183" s="169"/>
      <c r="C183" s="114"/>
      <c r="D183" s="145"/>
      <c r="E183" s="91"/>
      <c r="F183" s="91"/>
      <c r="G183" s="91"/>
      <c r="H183" s="91"/>
      <c r="I183" s="91"/>
      <c r="J183" s="91"/>
      <c r="K183" s="91"/>
    </row>
    <row r="184" spans="1:12" ht="15.75">
      <c r="A184" s="117"/>
      <c r="B184" s="169"/>
      <c r="C184" s="114"/>
      <c r="D184" s="145"/>
      <c r="E184" s="91"/>
      <c r="F184" s="141"/>
      <c r="G184" s="91"/>
      <c r="H184" s="91"/>
      <c r="I184" s="91"/>
      <c r="J184" s="91"/>
      <c r="K184" s="91"/>
      <c r="L184" s="91"/>
    </row>
  </sheetData>
  <sheetProtection/>
  <mergeCells count="15">
    <mergeCell ref="A173:D173"/>
    <mergeCell ref="A102:C102"/>
    <mergeCell ref="A113:H113"/>
    <mergeCell ref="A115:D115"/>
    <mergeCell ref="A132:D132"/>
    <mergeCell ref="A64:D64"/>
    <mergeCell ref="A83:H83"/>
    <mergeCell ref="A148:D148"/>
    <mergeCell ref="A161:D161"/>
    <mergeCell ref="A38:E38"/>
    <mergeCell ref="A57:C57"/>
    <mergeCell ref="A1:H1"/>
    <mergeCell ref="A2:H2"/>
    <mergeCell ref="A4:D4"/>
    <mergeCell ref="A23:D23"/>
  </mergeCells>
  <printOptions/>
  <pageMargins left="0.58" right="0.49" top="0.54" bottom="0.6" header="0" footer="0"/>
  <pageSetup orientation="portrait" scale="75" r:id="rId1"/>
  <rowBreaks count="2" manualBreakCount="2">
    <brk id="62" max="255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M25"/>
  <sheetViews>
    <sheetView zoomScalePageLayoutView="0" workbookViewId="0" topLeftCell="B11">
      <selection activeCell="M16" activeCellId="1" sqref="K25 M16"/>
    </sheetView>
  </sheetViews>
  <sheetFormatPr defaultColWidth="11.421875" defaultRowHeight="12.75"/>
  <cols>
    <col min="1" max="1" width="11.421875" style="7" customWidth="1"/>
    <col min="2" max="2" width="13.8515625" style="7" bestFit="1" customWidth="1"/>
    <col min="3" max="3" width="20.28125" style="7" bestFit="1" customWidth="1"/>
    <col min="4" max="5" width="11.140625" style="7" bestFit="1" customWidth="1"/>
    <col min="6" max="6" width="14.8515625" style="7" bestFit="1" customWidth="1"/>
    <col min="7" max="7" width="12.7109375" style="7" bestFit="1" customWidth="1"/>
    <col min="8" max="8" width="13.57421875" style="7" bestFit="1" customWidth="1"/>
    <col min="9" max="9" width="10.140625" style="7" bestFit="1" customWidth="1"/>
    <col min="10" max="10" width="13.140625" style="7" bestFit="1" customWidth="1"/>
    <col min="11" max="11" width="12.8515625" style="7" bestFit="1" customWidth="1"/>
    <col min="12" max="12" width="13.57421875" style="7" bestFit="1" customWidth="1"/>
    <col min="13" max="13" width="14.421875" style="7" bestFit="1" customWidth="1"/>
    <col min="14" max="16384" width="11.421875" style="7" customWidth="1"/>
  </cols>
  <sheetData>
    <row r="5" spans="2:13" ht="15.75">
      <c r="B5" s="170" t="s">
        <v>51</v>
      </c>
      <c r="D5" s="119" t="s">
        <v>193</v>
      </c>
      <c r="E5" s="171" t="s">
        <v>194</v>
      </c>
      <c r="F5" s="119" t="s">
        <v>207</v>
      </c>
      <c r="G5" s="171" t="s">
        <v>196</v>
      </c>
      <c r="H5" s="119" t="s">
        <v>197</v>
      </c>
      <c r="I5" s="171" t="s">
        <v>196</v>
      </c>
      <c r="J5" s="119" t="s">
        <v>198</v>
      </c>
      <c r="K5" s="171" t="s">
        <v>196</v>
      </c>
      <c r="L5" s="171" t="s">
        <v>199</v>
      </c>
      <c r="M5" s="171" t="s">
        <v>200</v>
      </c>
    </row>
    <row r="6" spans="3:13" ht="15.75">
      <c r="C6" s="7" t="s">
        <v>201</v>
      </c>
      <c r="D6" s="172">
        <v>275</v>
      </c>
      <c r="E6" s="173">
        <v>22000</v>
      </c>
      <c r="F6" s="172">
        <v>1950</v>
      </c>
      <c r="G6" s="174">
        <v>147675</v>
      </c>
      <c r="H6" s="175">
        <v>25</v>
      </c>
      <c r="I6" s="174">
        <v>1875</v>
      </c>
      <c r="J6" s="173">
        <v>0</v>
      </c>
      <c r="K6" s="174">
        <v>0</v>
      </c>
      <c r="L6" s="173">
        <v>1925</v>
      </c>
      <c r="M6" s="174">
        <v>145800</v>
      </c>
    </row>
    <row r="7" spans="3:13" ht="16.5" thickBot="1">
      <c r="C7" s="7" t="s">
        <v>202</v>
      </c>
      <c r="D7" s="176">
        <v>275</v>
      </c>
      <c r="E7" s="177">
        <v>18425</v>
      </c>
      <c r="F7" s="178">
        <v>2400</v>
      </c>
      <c r="G7" s="177">
        <v>157300</v>
      </c>
      <c r="H7" s="178">
        <v>25</v>
      </c>
      <c r="I7" s="177">
        <v>1625</v>
      </c>
      <c r="J7" s="177">
        <v>0</v>
      </c>
      <c r="K7" s="177">
        <v>0</v>
      </c>
      <c r="L7" s="177">
        <v>2375</v>
      </c>
      <c r="M7" s="177">
        <v>155675</v>
      </c>
    </row>
    <row r="8" spans="4:13" ht="16.5" thickBot="1">
      <c r="D8" s="179">
        <v>550</v>
      </c>
      <c r="E8" s="179">
        <v>40425</v>
      </c>
      <c r="F8" s="179">
        <v>4350</v>
      </c>
      <c r="G8" s="179">
        <v>304975</v>
      </c>
      <c r="H8" s="179">
        <v>50</v>
      </c>
      <c r="I8" s="179">
        <v>3500</v>
      </c>
      <c r="J8" s="179">
        <v>0</v>
      </c>
      <c r="K8" s="179">
        <v>0</v>
      </c>
      <c r="L8" s="180">
        <v>4300</v>
      </c>
      <c r="M8" s="180">
        <v>301475</v>
      </c>
    </row>
    <row r="9" spans="5:13" ht="16.5" thickTop="1">
      <c r="E9" s="181"/>
      <c r="G9" s="181"/>
      <c r="H9" s="53"/>
      <c r="I9" s="182"/>
      <c r="J9" s="53"/>
      <c r="K9" s="181"/>
      <c r="L9" s="181"/>
      <c r="M9" s="181"/>
    </row>
    <row r="10" spans="2:13" ht="15.75">
      <c r="B10" s="170" t="s">
        <v>79</v>
      </c>
      <c r="D10" s="183" t="s">
        <v>193</v>
      </c>
      <c r="E10" s="171" t="s">
        <v>194</v>
      </c>
      <c r="F10" s="20" t="s">
        <v>195</v>
      </c>
      <c r="G10" s="171" t="s">
        <v>196</v>
      </c>
      <c r="H10" s="119" t="s">
        <v>197</v>
      </c>
      <c r="I10" s="171" t="s">
        <v>196</v>
      </c>
      <c r="J10" s="119" t="s">
        <v>198</v>
      </c>
      <c r="K10" s="171" t="s">
        <v>196</v>
      </c>
      <c r="L10" s="171" t="s">
        <v>203</v>
      </c>
      <c r="M10" s="171" t="s">
        <v>203</v>
      </c>
    </row>
    <row r="11" spans="3:13" ht="16.5" thickBot="1">
      <c r="C11" s="7" t="s">
        <v>204</v>
      </c>
      <c r="D11" s="184">
        <v>6500</v>
      </c>
      <c r="E11" s="185">
        <v>27625</v>
      </c>
      <c r="F11" s="186">
        <v>81000</v>
      </c>
      <c r="G11" s="185">
        <v>333625</v>
      </c>
      <c r="H11" s="185">
        <v>0</v>
      </c>
      <c r="I11" s="185">
        <v>0</v>
      </c>
      <c r="J11" s="185">
        <v>0</v>
      </c>
      <c r="K11" s="185">
        <v>0</v>
      </c>
      <c r="L11" s="185">
        <v>81000</v>
      </c>
      <c r="M11" s="177">
        <v>333625</v>
      </c>
    </row>
    <row r="12" spans="4:13" ht="16.5" thickBot="1">
      <c r="D12" s="179">
        <v>6500</v>
      </c>
      <c r="E12" s="179">
        <v>27625</v>
      </c>
      <c r="F12" s="179">
        <v>81000</v>
      </c>
      <c r="G12" s="179">
        <v>333625</v>
      </c>
      <c r="H12" s="179">
        <v>0</v>
      </c>
      <c r="I12" s="179">
        <v>0</v>
      </c>
      <c r="J12" s="179">
        <v>0</v>
      </c>
      <c r="K12" s="179">
        <v>0</v>
      </c>
      <c r="L12" s="180">
        <v>81000</v>
      </c>
      <c r="M12" s="180">
        <v>333625</v>
      </c>
    </row>
    <row r="13" spans="4:13" ht="16.5" thickTop="1">
      <c r="D13" s="187"/>
      <c r="E13" s="182"/>
      <c r="F13" s="53"/>
      <c r="G13" s="182"/>
      <c r="H13" s="182"/>
      <c r="I13" s="182"/>
      <c r="J13" s="182"/>
      <c r="K13" s="182"/>
      <c r="L13" s="182"/>
      <c r="M13" s="182"/>
    </row>
    <row r="14" spans="2:13" ht="15.75">
      <c r="B14" s="170" t="s">
        <v>53</v>
      </c>
      <c r="D14" s="183" t="s">
        <v>193</v>
      </c>
      <c r="E14" s="171" t="s">
        <v>196</v>
      </c>
      <c r="F14" s="20" t="s">
        <v>195</v>
      </c>
      <c r="G14" s="171" t="s">
        <v>196</v>
      </c>
      <c r="H14" s="119" t="s">
        <v>197</v>
      </c>
      <c r="I14" s="171" t="s">
        <v>196</v>
      </c>
      <c r="J14" s="119" t="s">
        <v>198</v>
      </c>
      <c r="K14" s="171" t="s">
        <v>196</v>
      </c>
      <c r="L14" s="171" t="s">
        <v>203</v>
      </c>
      <c r="M14" s="171" t="s">
        <v>203</v>
      </c>
    </row>
    <row r="15" spans="3:13" ht="15.75">
      <c r="C15" s="7" t="s">
        <v>205</v>
      </c>
      <c r="D15" s="188">
        <v>500</v>
      </c>
      <c r="E15" s="173">
        <v>1050</v>
      </c>
      <c r="F15" s="189">
        <v>7900</v>
      </c>
      <c r="G15" s="173">
        <v>16950</v>
      </c>
      <c r="H15" s="173">
        <v>0</v>
      </c>
      <c r="I15" s="173">
        <v>0</v>
      </c>
      <c r="J15" s="173">
        <v>0</v>
      </c>
      <c r="K15" s="173">
        <v>0</v>
      </c>
      <c r="L15" s="173">
        <v>7900</v>
      </c>
      <c r="M15" s="173">
        <v>16950</v>
      </c>
    </row>
    <row r="16" spans="3:13" ht="16.5" thickBot="1">
      <c r="C16" s="7" t="s">
        <v>206</v>
      </c>
      <c r="D16" s="190">
        <v>13000</v>
      </c>
      <c r="E16" s="177">
        <v>8390</v>
      </c>
      <c r="F16" s="191">
        <v>75000</v>
      </c>
      <c r="G16" s="177">
        <v>47550</v>
      </c>
      <c r="H16" s="178">
        <v>2000</v>
      </c>
      <c r="I16" s="177">
        <v>1240</v>
      </c>
      <c r="J16" s="177">
        <v>2000</v>
      </c>
      <c r="K16" s="177">
        <v>60</v>
      </c>
      <c r="L16" s="177">
        <v>75000</v>
      </c>
      <c r="M16" s="192">
        <v>46370</v>
      </c>
    </row>
    <row r="17" spans="4:13" ht="16.5" thickBot="1">
      <c r="D17" s="179">
        <v>13500</v>
      </c>
      <c r="E17" s="179">
        <v>9440</v>
      </c>
      <c r="F17" s="179">
        <v>82900</v>
      </c>
      <c r="G17" s="179">
        <v>64500</v>
      </c>
      <c r="H17" s="179">
        <v>2000</v>
      </c>
      <c r="I17" s="179">
        <v>1240</v>
      </c>
      <c r="J17" s="179">
        <v>2000</v>
      </c>
      <c r="K17" s="179">
        <v>60</v>
      </c>
      <c r="L17" s="180">
        <v>82900</v>
      </c>
      <c r="M17" s="180">
        <v>63320</v>
      </c>
    </row>
    <row r="18" ht="16.5" thickTop="1"/>
    <row r="20" spans="11:12" ht="15.75">
      <c r="K20" s="193" t="s">
        <v>208</v>
      </c>
      <c r="L20" s="193"/>
    </row>
    <row r="21" spans="11:12" ht="15.75">
      <c r="K21" s="194" t="s">
        <v>209</v>
      </c>
      <c r="L21" s="194"/>
    </row>
    <row r="22" spans="10:13" ht="15.75">
      <c r="J22" s="195" t="s">
        <v>210</v>
      </c>
      <c r="K22" s="196">
        <v>47550</v>
      </c>
      <c r="L22" s="197">
        <v>1240</v>
      </c>
      <c r="M22" s="7" t="s">
        <v>211</v>
      </c>
    </row>
    <row r="23" spans="10:12" ht="15.75">
      <c r="J23" s="195" t="s">
        <v>212</v>
      </c>
      <c r="K23" s="198">
        <v>60</v>
      </c>
      <c r="L23" s="199"/>
    </row>
    <row r="24" spans="11:12" ht="15.75">
      <c r="K24" s="200">
        <f>+K22+K23</f>
        <v>47610</v>
      </c>
      <c r="L24" s="201">
        <f>+L22</f>
        <v>1240</v>
      </c>
    </row>
    <row r="25" spans="10:12" ht="15.75">
      <c r="J25" s="195" t="s">
        <v>213</v>
      </c>
      <c r="K25" s="202">
        <f>+K24-L24</f>
        <v>46370</v>
      </c>
      <c r="L25" s="203"/>
    </row>
  </sheetData>
  <sheetProtection/>
  <mergeCells count="2">
    <mergeCell ref="K20:L20"/>
    <mergeCell ref="K21:L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6">
      <selection activeCell="A30" sqref="A30:N30"/>
    </sheetView>
  </sheetViews>
  <sheetFormatPr defaultColWidth="11.421875" defaultRowHeight="12.75"/>
  <cols>
    <col min="1" max="1" width="4.28125" style="7" bestFit="1" customWidth="1"/>
    <col min="2" max="2" width="44.421875" style="7" bestFit="1" customWidth="1"/>
    <col min="3" max="3" width="19.28125" style="7" bestFit="1" customWidth="1"/>
    <col min="4" max="5" width="15.00390625" style="7" bestFit="1" customWidth="1"/>
    <col min="6" max="6" width="16.421875" style="7" bestFit="1" customWidth="1"/>
    <col min="7" max="7" width="19.28125" style="7" bestFit="1" customWidth="1"/>
    <col min="8" max="9" width="15.00390625" style="7" bestFit="1" customWidth="1"/>
    <col min="10" max="10" width="16.421875" style="7" bestFit="1" customWidth="1"/>
    <col min="11" max="11" width="19.28125" style="7" bestFit="1" customWidth="1"/>
    <col min="12" max="13" width="15.00390625" style="7" bestFit="1" customWidth="1"/>
    <col min="14" max="14" width="16.421875" style="7" bestFit="1" customWidth="1"/>
    <col min="15" max="16384" width="11.421875" style="7" customWidth="1"/>
  </cols>
  <sheetData>
    <row r="1" spans="1:5" ht="15.75">
      <c r="A1" s="83" t="s">
        <v>192</v>
      </c>
      <c r="B1" s="83"/>
      <c r="C1" s="83"/>
      <c r="D1" s="83"/>
      <c r="E1" s="83"/>
    </row>
    <row r="2" spans="1:5" ht="15.75">
      <c r="A2" s="83" t="s">
        <v>150</v>
      </c>
      <c r="B2" s="83"/>
      <c r="C2" s="83"/>
      <c r="D2" s="83"/>
      <c r="E2" s="83"/>
    </row>
    <row r="3" spans="1:5" ht="15.75">
      <c r="A3" s="276" t="s">
        <v>151</v>
      </c>
      <c r="B3" s="276"/>
      <c r="C3" s="276"/>
      <c r="D3" s="276"/>
      <c r="E3" s="276"/>
    </row>
    <row r="4" spans="1:2" ht="15.75">
      <c r="A4" s="249"/>
      <c r="B4" s="249"/>
    </row>
    <row r="5" spans="1:5" ht="16.5" thickBot="1">
      <c r="A5" s="249"/>
      <c r="B5" s="249"/>
      <c r="C5" s="53" t="s">
        <v>152</v>
      </c>
      <c r="D5" s="53" t="s">
        <v>153</v>
      </c>
      <c r="E5" s="53" t="s">
        <v>154</v>
      </c>
    </row>
    <row r="6" spans="1:5" s="44" customFormat="1" ht="18.75" customHeight="1" thickBot="1">
      <c r="A6" s="250"/>
      <c r="B6" s="251" t="s">
        <v>155</v>
      </c>
      <c r="C6" s="252" t="s">
        <v>156</v>
      </c>
      <c r="D6" s="253" t="s">
        <v>6</v>
      </c>
      <c r="E6" s="254" t="s">
        <v>2</v>
      </c>
    </row>
    <row r="7" spans="1:5" ht="18.75" customHeight="1">
      <c r="A7" s="255" t="s">
        <v>157</v>
      </c>
      <c r="B7" s="256" t="s">
        <v>158</v>
      </c>
      <c r="C7" s="204"/>
      <c r="D7" s="205"/>
      <c r="E7" s="206"/>
    </row>
    <row r="8" spans="1:5" ht="18.75" customHeight="1">
      <c r="A8" s="257"/>
      <c r="B8" s="47" t="s">
        <v>159</v>
      </c>
      <c r="C8" s="207"/>
      <c r="D8" s="208"/>
      <c r="E8" s="209"/>
    </row>
    <row r="9" spans="1:5" ht="18.75" customHeight="1">
      <c r="A9" s="258" t="s">
        <v>160</v>
      </c>
      <c r="B9" s="47" t="s">
        <v>161</v>
      </c>
      <c r="C9" s="210">
        <v>130000</v>
      </c>
      <c r="D9" s="208"/>
      <c r="E9" s="209"/>
    </row>
    <row r="10" spans="1:5" ht="18.75" customHeight="1" thickBot="1">
      <c r="A10" s="259" t="s">
        <v>160</v>
      </c>
      <c r="B10" s="260" t="s">
        <v>162</v>
      </c>
      <c r="C10" s="211"/>
      <c r="D10" s="212">
        <v>240000</v>
      </c>
      <c r="E10" s="213">
        <v>19000</v>
      </c>
    </row>
    <row r="11" spans="1:5" ht="18.75" customHeight="1" thickBot="1">
      <c r="A11" s="261"/>
      <c r="B11" s="262" t="s">
        <v>163</v>
      </c>
      <c r="C11" s="214">
        <v>130000</v>
      </c>
      <c r="D11" s="215">
        <v>240000</v>
      </c>
      <c r="E11" s="216">
        <v>19000</v>
      </c>
    </row>
    <row r="12" spans="1:5" ht="18.75" customHeight="1" thickTop="1">
      <c r="A12" s="258" t="s">
        <v>164</v>
      </c>
      <c r="B12" s="46" t="s">
        <v>165</v>
      </c>
      <c r="C12" s="217"/>
      <c r="D12" s="218"/>
      <c r="E12" s="219"/>
    </row>
    <row r="13" spans="1:5" ht="18.75" customHeight="1">
      <c r="A13" s="258"/>
      <c r="B13" s="47" t="s">
        <v>166</v>
      </c>
      <c r="C13" s="210">
        <v>120000</v>
      </c>
      <c r="D13" s="208">
        <v>228000</v>
      </c>
      <c r="E13" s="209">
        <v>18000</v>
      </c>
    </row>
    <row r="14" spans="1:5" ht="18.75" customHeight="1">
      <c r="A14" s="258"/>
      <c r="B14" s="47" t="s">
        <v>167</v>
      </c>
      <c r="C14" s="210">
        <v>5000</v>
      </c>
      <c r="D14" s="208"/>
      <c r="E14" s="209"/>
    </row>
    <row r="15" spans="1:5" ht="18.75" customHeight="1">
      <c r="A15" s="258"/>
      <c r="B15" s="47" t="s">
        <v>168</v>
      </c>
      <c r="C15" s="210"/>
      <c r="D15" s="208"/>
      <c r="E15" s="209"/>
    </row>
    <row r="16" spans="1:5" ht="18.75" customHeight="1">
      <c r="A16" s="258"/>
      <c r="B16" s="47" t="s">
        <v>169</v>
      </c>
      <c r="C16" s="210"/>
      <c r="D16" s="208"/>
      <c r="E16" s="209"/>
    </row>
    <row r="17" spans="1:5" ht="18.75" customHeight="1">
      <c r="A17" s="258"/>
      <c r="B17" s="47" t="s">
        <v>170</v>
      </c>
      <c r="C17" s="210"/>
      <c r="D17" s="208"/>
      <c r="E17" s="209">
        <v>120</v>
      </c>
    </row>
    <row r="18" spans="1:5" ht="18.75" customHeight="1">
      <c r="A18" s="258"/>
      <c r="B18" s="47" t="s">
        <v>171</v>
      </c>
      <c r="C18" s="210"/>
      <c r="D18" s="208">
        <v>100</v>
      </c>
      <c r="E18" s="209"/>
    </row>
    <row r="19" spans="1:5" ht="18.75" customHeight="1" thickBot="1">
      <c r="A19" s="259"/>
      <c r="B19" s="260" t="s">
        <v>172</v>
      </c>
      <c r="C19" s="211">
        <v>5000</v>
      </c>
      <c r="D19" s="211">
        <v>11900</v>
      </c>
      <c r="E19" s="220">
        <v>880</v>
      </c>
    </row>
    <row r="20" spans="1:5" ht="18.75" customHeight="1" thickBot="1">
      <c r="A20" s="261"/>
      <c r="B20" s="262" t="s">
        <v>163</v>
      </c>
      <c r="C20" s="214">
        <v>130000</v>
      </c>
      <c r="D20" s="215">
        <v>240000</v>
      </c>
      <c r="E20" s="216">
        <v>19000</v>
      </c>
    </row>
    <row r="21" spans="1:5" ht="18.75" customHeight="1" thickTop="1">
      <c r="A21" s="258" t="s">
        <v>173</v>
      </c>
      <c r="B21" s="46" t="s">
        <v>174</v>
      </c>
      <c r="C21" s="217"/>
      <c r="D21" s="218"/>
      <c r="E21" s="219"/>
    </row>
    <row r="22" spans="1:5" ht="18.75" customHeight="1">
      <c r="A22" s="258"/>
      <c r="B22" s="47" t="s">
        <v>166</v>
      </c>
      <c r="C22" s="210">
        <v>120000</v>
      </c>
      <c r="D22" s="210">
        <v>228000</v>
      </c>
      <c r="E22" s="209">
        <v>18000</v>
      </c>
    </row>
    <row r="23" spans="1:5" ht="18.75" customHeight="1">
      <c r="A23" s="258"/>
      <c r="B23" s="47" t="s">
        <v>167</v>
      </c>
      <c r="C23" s="210">
        <v>5000</v>
      </c>
      <c r="D23" s="208"/>
      <c r="E23" s="209"/>
    </row>
    <row r="24" spans="1:5" ht="18.75" customHeight="1">
      <c r="A24" s="258"/>
      <c r="B24" s="47" t="s">
        <v>175</v>
      </c>
      <c r="C24" s="210"/>
      <c r="D24" s="208"/>
      <c r="E24" s="209">
        <v>120</v>
      </c>
    </row>
    <row r="25" spans="1:5" ht="18.75" customHeight="1" thickBot="1">
      <c r="A25" s="259"/>
      <c r="B25" s="260" t="s">
        <v>172</v>
      </c>
      <c r="C25" s="211">
        <v>2500</v>
      </c>
      <c r="D25" s="211">
        <v>8925</v>
      </c>
      <c r="E25" s="220">
        <v>704</v>
      </c>
    </row>
    <row r="26" spans="1:5" ht="18.75" customHeight="1" thickBot="1">
      <c r="A26" s="261"/>
      <c r="B26" s="262" t="s">
        <v>163</v>
      </c>
      <c r="C26" s="221">
        <v>127500</v>
      </c>
      <c r="D26" s="222">
        <v>236925</v>
      </c>
      <c r="E26" s="216">
        <v>18824</v>
      </c>
    </row>
    <row r="27" spans="1:5" ht="18.75" customHeight="1" thickBot="1" thickTop="1">
      <c r="A27" s="263"/>
      <c r="B27" s="264"/>
      <c r="C27" s="223"/>
      <c r="D27" s="224"/>
      <c r="E27" s="225"/>
    </row>
    <row r="30" spans="1:14" ht="15.75">
      <c r="A30" s="276" t="s">
        <v>176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6" ht="16.5" thickBot="1">
      <c r="A31" s="265" t="s">
        <v>176</v>
      </c>
      <c r="B31" s="265"/>
      <c r="C31" s="265"/>
      <c r="D31" s="265"/>
      <c r="E31" s="265"/>
      <c r="F31" s="265"/>
    </row>
    <row r="32" spans="1:14" ht="16.5" thickBot="1">
      <c r="A32" s="266"/>
      <c r="B32" s="267" t="s">
        <v>177</v>
      </c>
      <c r="C32" s="268" t="s">
        <v>178</v>
      </c>
      <c r="D32" s="269"/>
      <c r="E32" s="269"/>
      <c r="F32" s="270"/>
      <c r="G32" s="268" t="s">
        <v>179</v>
      </c>
      <c r="H32" s="269"/>
      <c r="I32" s="269"/>
      <c r="J32" s="270"/>
      <c r="K32" s="268" t="s">
        <v>180</v>
      </c>
      <c r="L32" s="269"/>
      <c r="M32" s="269"/>
      <c r="N32" s="270"/>
    </row>
    <row r="33" spans="1:14" ht="16.5" thickBot="1">
      <c r="A33" s="271"/>
      <c r="B33" s="272"/>
      <c r="C33" s="273" t="s">
        <v>181</v>
      </c>
      <c r="D33" s="273" t="s">
        <v>182</v>
      </c>
      <c r="E33" s="273" t="s">
        <v>183</v>
      </c>
      <c r="F33" s="274" t="s">
        <v>184</v>
      </c>
      <c r="G33" s="273" t="s">
        <v>181</v>
      </c>
      <c r="H33" s="273" t="s">
        <v>182</v>
      </c>
      <c r="I33" s="273" t="s">
        <v>183</v>
      </c>
      <c r="J33" s="274" t="s">
        <v>184</v>
      </c>
      <c r="K33" s="273" t="s">
        <v>181</v>
      </c>
      <c r="L33" s="273" t="s">
        <v>182</v>
      </c>
      <c r="M33" s="273" t="s">
        <v>183</v>
      </c>
      <c r="N33" s="274" t="s">
        <v>184</v>
      </c>
    </row>
    <row r="34" spans="1:14" ht="15.75">
      <c r="A34" s="257" t="s">
        <v>157</v>
      </c>
      <c r="B34" s="275" t="s">
        <v>185</v>
      </c>
      <c r="C34" s="226"/>
      <c r="D34" s="227"/>
      <c r="E34" s="227"/>
      <c r="F34" s="228"/>
      <c r="G34" s="226"/>
      <c r="H34" s="227"/>
      <c r="I34" s="227"/>
      <c r="J34" s="228"/>
      <c r="K34" s="226"/>
      <c r="L34" s="227"/>
      <c r="M34" s="227"/>
      <c r="N34" s="228"/>
    </row>
    <row r="35" spans="1:14" ht="15.75">
      <c r="A35" s="257"/>
      <c r="B35" s="47" t="s">
        <v>159</v>
      </c>
      <c r="C35" s="229"/>
      <c r="D35" s="230"/>
      <c r="E35" s="227"/>
      <c r="F35" s="228"/>
      <c r="G35" s="229"/>
      <c r="H35" s="230"/>
      <c r="I35" s="227"/>
      <c r="J35" s="228"/>
      <c r="K35" s="229"/>
      <c r="L35" s="230"/>
      <c r="M35" s="227"/>
      <c r="N35" s="228"/>
    </row>
    <row r="36" spans="1:14" ht="15.75">
      <c r="A36" s="258" t="s">
        <v>160</v>
      </c>
      <c r="B36" s="47" t="s">
        <v>186</v>
      </c>
      <c r="C36" s="226">
        <v>301475</v>
      </c>
      <c r="D36" s="227">
        <v>51590.625</v>
      </c>
      <c r="E36" s="227">
        <v>67372.33616507007</v>
      </c>
      <c r="F36" s="228">
        <v>420437.96116507007</v>
      </c>
      <c r="G36" s="226">
        <v>333625</v>
      </c>
      <c r="H36" s="227">
        <v>34393.75</v>
      </c>
      <c r="I36" s="227">
        <v>55057.805129568624</v>
      </c>
      <c r="J36" s="228">
        <v>423076.5551295686</v>
      </c>
      <c r="K36" s="226">
        <v>63320</v>
      </c>
      <c r="L36" s="227">
        <v>20636.25</v>
      </c>
      <c r="M36" s="227">
        <v>37318.291004860796</v>
      </c>
      <c r="N36" s="228">
        <v>121274.5410048608</v>
      </c>
    </row>
    <row r="37" spans="1:14" ht="16.5" thickBot="1">
      <c r="A37" s="259" t="s">
        <v>160</v>
      </c>
      <c r="B37" s="260" t="s">
        <v>187</v>
      </c>
      <c r="C37" s="231"/>
      <c r="D37" s="232"/>
      <c r="E37" s="232"/>
      <c r="F37" s="233"/>
      <c r="G37" s="231">
        <v>390249.75530468137</v>
      </c>
      <c r="H37" s="232"/>
      <c r="I37" s="232">
        <v>0</v>
      </c>
      <c r="J37" s="228">
        <v>390249.75530468137</v>
      </c>
      <c r="K37" s="231">
        <v>774049.5724759477</v>
      </c>
      <c r="L37" s="232"/>
      <c r="M37" s="232">
        <v>0</v>
      </c>
      <c r="N37" s="228">
        <v>774049.5724759477</v>
      </c>
    </row>
    <row r="38" spans="1:14" ht="16.5" thickBot="1">
      <c r="A38" s="261"/>
      <c r="B38" s="262" t="s">
        <v>163</v>
      </c>
      <c r="C38" s="234">
        <v>301475</v>
      </c>
      <c r="D38" s="235">
        <v>51590.625</v>
      </c>
      <c r="E38" s="235">
        <v>67372.33616507007</v>
      </c>
      <c r="F38" s="236">
        <v>420437.96116507007</v>
      </c>
      <c r="G38" s="234">
        <v>723874.7553046814</v>
      </c>
      <c r="H38" s="235">
        <v>34393.75</v>
      </c>
      <c r="I38" s="235">
        <v>55057.805129568624</v>
      </c>
      <c r="J38" s="236">
        <v>813326.3104342499</v>
      </c>
      <c r="K38" s="234">
        <v>837369.5724759477</v>
      </c>
      <c r="L38" s="235">
        <v>20636.25</v>
      </c>
      <c r="M38" s="235">
        <v>37318.291004860796</v>
      </c>
      <c r="N38" s="236">
        <v>895324.1134808084</v>
      </c>
    </row>
    <row r="39" spans="1:14" ht="16.5" thickTop="1">
      <c r="A39" s="258"/>
      <c r="B39" s="46" t="s">
        <v>155</v>
      </c>
      <c r="C39" s="237"/>
      <c r="D39" s="238"/>
      <c r="E39" s="238"/>
      <c r="F39" s="239"/>
      <c r="G39" s="237"/>
      <c r="H39" s="238"/>
      <c r="I39" s="238"/>
      <c r="J39" s="239"/>
      <c r="K39" s="237"/>
      <c r="L39" s="238"/>
      <c r="M39" s="238"/>
      <c r="N39" s="239"/>
    </row>
    <row r="40" spans="1:14" ht="16.5" thickBot="1">
      <c r="A40" s="258"/>
      <c r="B40" s="47" t="s">
        <v>188</v>
      </c>
      <c r="C40" s="240">
        <v>130000</v>
      </c>
      <c r="D40" s="241">
        <v>127500</v>
      </c>
      <c r="E40" s="241">
        <v>127500</v>
      </c>
      <c r="F40" s="242"/>
      <c r="G40" s="240">
        <v>239900</v>
      </c>
      <c r="H40" s="241">
        <v>236925</v>
      </c>
      <c r="I40" s="241">
        <v>236925</v>
      </c>
      <c r="J40" s="242"/>
      <c r="K40" s="240">
        <v>19000</v>
      </c>
      <c r="L40" s="241">
        <v>18824</v>
      </c>
      <c r="M40" s="241">
        <v>18824</v>
      </c>
      <c r="N40" s="242"/>
    </row>
    <row r="41" spans="1:14" ht="16.5" thickBot="1">
      <c r="A41" s="261"/>
      <c r="B41" s="262" t="s">
        <v>189</v>
      </c>
      <c r="C41" s="243">
        <v>2.3190384615384616</v>
      </c>
      <c r="D41" s="244">
        <v>0.40463235294117644</v>
      </c>
      <c r="E41" s="244">
        <v>0.5284104797260397</v>
      </c>
      <c r="F41" s="245">
        <v>3.252081294205678</v>
      </c>
      <c r="G41" s="243">
        <v>3.017402064629768</v>
      </c>
      <c r="H41" s="244">
        <v>0.14516724701909886</v>
      </c>
      <c r="I41" s="244">
        <v>0.2323849535910884</v>
      </c>
      <c r="J41" s="245">
        <v>3.394954265239955</v>
      </c>
      <c r="K41" s="243">
        <v>44.072082761891984</v>
      </c>
      <c r="L41" s="244">
        <v>1.0962733744156397</v>
      </c>
      <c r="M41" s="244">
        <v>1.982484647517042</v>
      </c>
      <c r="N41" s="245">
        <v>47.15084078382466</v>
      </c>
    </row>
    <row r="42" spans="1:14" ht="16.5" thickTop="1">
      <c r="A42" s="258" t="s">
        <v>164</v>
      </c>
      <c r="B42" s="46" t="s">
        <v>190</v>
      </c>
      <c r="C42" s="246"/>
      <c r="D42" s="247"/>
      <c r="E42" s="247"/>
      <c r="F42" s="248"/>
      <c r="G42" s="246"/>
      <c r="H42" s="247"/>
      <c r="I42" s="247"/>
      <c r="J42" s="248"/>
      <c r="K42" s="246"/>
      <c r="L42" s="247"/>
      <c r="M42" s="247"/>
      <c r="N42" s="248"/>
    </row>
    <row r="43" spans="1:14" ht="15.75">
      <c r="A43" s="258"/>
      <c r="B43" s="47" t="s">
        <v>166</v>
      </c>
      <c r="C43" s="226">
        <v>278284.6153846154</v>
      </c>
      <c r="D43" s="227">
        <v>48555.882352941175</v>
      </c>
      <c r="E43" s="227">
        <v>63409.25756712477</v>
      </c>
      <c r="F43" s="228">
        <v>390249.75530468137</v>
      </c>
      <c r="G43" s="226">
        <v>687967.6707355871</v>
      </c>
      <c r="H43" s="227">
        <v>33098.13232035454</v>
      </c>
      <c r="I43" s="227">
        <v>52983.769418768155</v>
      </c>
      <c r="J43" s="228">
        <v>774049.5724747098</v>
      </c>
      <c r="K43" s="226">
        <v>793297.4897140557</v>
      </c>
      <c r="L43" s="226">
        <v>19732.920739481513</v>
      </c>
      <c r="M43" s="226">
        <v>35684.723655306756</v>
      </c>
      <c r="N43" s="228">
        <v>848715.1341088439</v>
      </c>
    </row>
    <row r="44" spans="1:14" ht="15.75">
      <c r="A44" s="258"/>
      <c r="B44" s="47" t="s">
        <v>167</v>
      </c>
      <c r="C44" s="226">
        <v>11595.192307692309</v>
      </c>
      <c r="D44" s="226">
        <v>2023.1617647058822</v>
      </c>
      <c r="E44" s="226">
        <v>2642.0523986301987</v>
      </c>
      <c r="F44" s="228">
        <v>16260.40647102839</v>
      </c>
      <c r="G44" s="226"/>
      <c r="H44" s="227"/>
      <c r="I44" s="227"/>
      <c r="J44" s="228">
        <v>0</v>
      </c>
      <c r="K44" s="226"/>
      <c r="L44" s="226"/>
      <c r="M44" s="226"/>
      <c r="N44" s="228">
        <v>0</v>
      </c>
    </row>
    <row r="45" spans="1:14" ht="15.75">
      <c r="A45" s="258"/>
      <c r="B45" s="47" t="s">
        <v>191</v>
      </c>
      <c r="C45" s="226"/>
      <c r="D45" s="227"/>
      <c r="E45" s="227"/>
      <c r="F45" s="228">
        <v>0</v>
      </c>
      <c r="G45" s="226"/>
      <c r="H45" s="227"/>
      <c r="I45" s="227"/>
      <c r="J45" s="228">
        <v>0</v>
      </c>
      <c r="K45" s="226">
        <v>5288.649931427038</v>
      </c>
      <c r="L45" s="226">
        <v>131.55280492987677</v>
      </c>
      <c r="M45" s="226">
        <v>237.89815770204504</v>
      </c>
      <c r="N45" s="228">
        <v>5658.100894058959</v>
      </c>
    </row>
    <row r="46" spans="1:14" ht="16.5" thickBot="1">
      <c r="A46" s="259"/>
      <c r="B46" s="260" t="s">
        <v>172</v>
      </c>
      <c r="C46" s="231">
        <v>11595.192307692309</v>
      </c>
      <c r="D46" s="231">
        <v>1011.5808823529411</v>
      </c>
      <c r="E46" s="231">
        <v>1321.0261993150993</v>
      </c>
      <c r="F46" s="228">
        <v>13927.799389360349</v>
      </c>
      <c r="G46" s="231">
        <v>35907.08456909424</v>
      </c>
      <c r="H46" s="232">
        <v>1295.6176796454574</v>
      </c>
      <c r="I46" s="232">
        <v>2074.035710800464</v>
      </c>
      <c r="J46" s="228">
        <v>39276.73795954016</v>
      </c>
      <c r="K46" s="231">
        <v>38783.432830464946</v>
      </c>
      <c r="L46" s="231">
        <v>771.7764555886104</v>
      </c>
      <c r="M46" s="231">
        <v>1395.6691918519975</v>
      </c>
      <c r="N46" s="228">
        <v>40950.87847790556</v>
      </c>
    </row>
    <row r="47" spans="1:14" ht="16.5" thickBot="1">
      <c r="A47" s="261"/>
      <c r="B47" s="262" t="s">
        <v>163</v>
      </c>
      <c r="C47" s="234">
        <v>301475</v>
      </c>
      <c r="D47" s="235">
        <v>51590.625</v>
      </c>
      <c r="E47" s="235">
        <v>67372.33616507005</v>
      </c>
      <c r="F47" s="236">
        <v>420437.96116507007</v>
      </c>
      <c r="G47" s="234">
        <v>723874.7553046814</v>
      </c>
      <c r="H47" s="235">
        <v>34393.75</v>
      </c>
      <c r="I47" s="235">
        <v>55057.80512956862</v>
      </c>
      <c r="J47" s="236">
        <v>813326.3104342499</v>
      </c>
      <c r="K47" s="234">
        <v>837369.5724759477</v>
      </c>
      <c r="L47" s="235">
        <v>20636.25</v>
      </c>
      <c r="M47" s="235">
        <v>37318.2910048608</v>
      </c>
      <c r="N47" s="236">
        <v>895324.1134808084</v>
      </c>
    </row>
    <row r="48" spans="1:14" ht="17.25" thickBot="1" thickTop="1">
      <c r="A48" s="263"/>
      <c r="B48" s="264"/>
      <c r="C48" s="223"/>
      <c r="D48" s="224"/>
      <c r="E48" s="224"/>
      <c r="F48" s="225"/>
      <c r="G48" s="223"/>
      <c r="H48" s="224"/>
      <c r="I48" s="224"/>
      <c r="J48" s="225"/>
      <c r="K48" s="223"/>
      <c r="L48" s="224"/>
      <c r="M48" s="224"/>
      <c r="N48" s="225"/>
    </row>
  </sheetData>
  <sheetProtection/>
  <mergeCells count="10">
    <mergeCell ref="A1:E1"/>
    <mergeCell ref="A2:E2"/>
    <mergeCell ref="A3:E3"/>
    <mergeCell ref="A30:N30"/>
    <mergeCell ref="G32:J32"/>
    <mergeCell ref="K32:N32"/>
    <mergeCell ref="A31:F31"/>
    <mergeCell ref="A32:A33"/>
    <mergeCell ref="B32:B33"/>
    <mergeCell ref="C32:F3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jeovanny</dc:creator>
  <cp:keywords/>
  <dc:description/>
  <cp:lastModifiedBy>USUARIO</cp:lastModifiedBy>
  <cp:lastPrinted>2012-05-18T16:19:24Z</cp:lastPrinted>
  <dcterms:created xsi:type="dcterms:W3CDTF">2009-05-05T06:08:02Z</dcterms:created>
  <dcterms:modified xsi:type="dcterms:W3CDTF">2014-04-24T02:12:06Z</dcterms:modified>
  <cp:category/>
  <cp:version/>
  <cp:contentType/>
  <cp:contentStatus/>
</cp:coreProperties>
</file>