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710" activeTab="0"/>
  </bookViews>
  <sheets>
    <sheet name="A EJERCICIO 1" sheetId="1" r:id="rId1"/>
    <sheet name="B EJERCICIO 1" sheetId="2" r:id="rId2"/>
    <sheet name="A EJERCICIO 2" sheetId="3" r:id="rId3"/>
    <sheet name="B EJERCICIO 2" sheetId="4" r:id="rId4"/>
  </sheets>
  <definedNames/>
  <calcPr fullCalcOnLoad="1"/>
</workbook>
</file>

<file path=xl/sharedStrings.xml><?xml version="1.0" encoding="utf-8"?>
<sst xmlns="http://schemas.openxmlformats.org/spreadsheetml/2006/main" count="284" uniqueCount="62">
  <si>
    <t>UNIVERSIDAD SAN CARLOS DE GUATEMALA</t>
  </si>
  <si>
    <t>TEMA:     ARRENDAMIENTO VERSUS COMPRA.</t>
  </si>
  <si>
    <t xml:space="preserve">CASO :    </t>
  </si>
  <si>
    <t>ARRENDAMIENTO</t>
  </si>
  <si>
    <t>AÑO</t>
  </si>
  <si>
    <t>Renta</t>
  </si>
  <si>
    <t>Ahorro</t>
  </si>
  <si>
    <t>Costo</t>
  </si>
  <si>
    <t>Factor</t>
  </si>
  <si>
    <t>Flujo Neto</t>
  </si>
  <si>
    <t>Impuestos</t>
  </si>
  <si>
    <t>Del dinero</t>
  </si>
  <si>
    <t>Valor Actual</t>
  </si>
  <si>
    <t>Descontado</t>
  </si>
  <si>
    <t>TOTAL</t>
  </si>
  <si>
    <t>COMPRA DE CONTADO</t>
  </si>
  <si>
    <t xml:space="preserve">Salida de </t>
  </si>
  <si>
    <t>Depreciacion</t>
  </si>
  <si>
    <t>Ahorro por</t>
  </si>
  <si>
    <t>Dinero</t>
  </si>
  <si>
    <t>Del Dinero</t>
  </si>
  <si>
    <t>PRESTAMO BANCARIO</t>
  </si>
  <si>
    <t>Prestamo</t>
  </si>
  <si>
    <t>Intereses</t>
  </si>
  <si>
    <t>Cuota</t>
  </si>
  <si>
    <t>Reduccion</t>
  </si>
  <si>
    <t>Saldo</t>
  </si>
  <si>
    <t>Ahorro en</t>
  </si>
  <si>
    <t>Bancario</t>
  </si>
  <si>
    <t>Nivelada</t>
  </si>
  <si>
    <t>Principal</t>
  </si>
  <si>
    <t>Capital</t>
  </si>
  <si>
    <t>RESUMEN GENERAL</t>
  </si>
  <si>
    <t>Compra de Contado</t>
  </si>
  <si>
    <t>Valor Actual de Contado</t>
  </si>
  <si>
    <t>Valor Actual de Intereses</t>
  </si>
  <si>
    <t>VALOR ACTUAL DEL PRESTAMO BANCOS</t>
  </si>
  <si>
    <t>.</t>
  </si>
  <si>
    <t>COMPARATIVO DE LOS FLUJOS DE FONDOS</t>
  </si>
  <si>
    <t>FUENTE</t>
  </si>
  <si>
    <t>TOTAL A</t>
  </si>
  <si>
    <t>FLUJOS NETO</t>
  </si>
  <si>
    <t>PAGAR</t>
  </si>
  <si>
    <t>Arrendamientos</t>
  </si>
  <si>
    <t>Compra Contado</t>
  </si>
  <si>
    <t>Prestamos Bancos</t>
  </si>
  <si>
    <t>Tasa</t>
  </si>
  <si>
    <t>No. Pagos</t>
  </si>
  <si>
    <t>Valor al</t>
  </si>
  <si>
    <t>contado</t>
  </si>
  <si>
    <t>DATOS</t>
  </si>
  <si>
    <t>CAPITAL</t>
  </si>
  <si>
    <t>TASA</t>
  </si>
  <si>
    <t>TIEMPO</t>
  </si>
  <si>
    <t>AÑOS</t>
  </si>
  <si>
    <t>FNE</t>
  </si>
  <si>
    <t>FNF</t>
  </si>
  <si>
    <t>DE FONDOS DESCONTADO</t>
  </si>
  <si>
    <t>CN =</t>
  </si>
  <si>
    <t>R</t>
  </si>
  <si>
    <t xml:space="preserve">    A    i</t>
  </si>
  <si>
    <r>
      <t>1-(1 + i)</t>
    </r>
    <r>
      <rPr>
        <b/>
        <sz val="7"/>
        <rFont val="Arial"/>
        <family val="2"/>
      </rPr>
      <t>-n</t>
    </r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</si>
</sst>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Q&quot;;\-#,##0\ &quot;Q&quot;"/>
    <numFmt numFmtId="165" formatCode="#,##0\ &quot;Q&quot;;[Red]\-#,##0\ &quot;Q&quot;"/>
    <numFmt numFmtId="166" formatCode="#,##0.00\ &quot;Q&quot;;\-#,##0.00\ &quot;Q&quot;"/>
    <numFmt numFmtId="167" formatCode="#,##0.00\ &quot;Q&quot;;[Red]\-#,##0.00\ &quot;Q&quot;"/>
    <numFmt numFmtId="168" formatCode="_-* #,##0\ &quot;Q&quot;_-;\-* #,##0\ &quot;Q&quot;_-;_-* &quot;-&quot;\ &quot;Q&quot;_-;_-@_-"/>
    <numFmt numFmtId="169" formatCode="_-* #,##0\ _Q_-;\-* #,##0\ _Q_-;_-* &quot;-&quot;\ _Q_-;_-@_-"/>
    <numFmt numFmtId="170" formatCode="_-* #,##0.00\ &quot;Q&quot;_-;\-* #,##0.00\ &quot;Q&quot;_-;_-* &quot;-&quot;??\ &quot;Q&quot;_-;_-@_-"/>
    <numFmt numFmtId="171" formatCode="_-* #,##0.00\ _Q_-;\-* #,##0.00\ _Q_-;_-* &quot;-&quot;??\ _Q_-;_-@_-"/>
    <numFmt numFmtId="172" formatCode="0.00000"/>
    <numFmt numFmtId="173" formatCode="#,##0.0000"/>
    <numFmt numFmtId="174" formatCode="0.0000"/>
    <numFmt numFmtId="175" formatCode="0.000"/>
    <numFmt numFmtId="176" formatCode="#,##0.0"/>
    <numFmt numFmtId="177" formatCode="#,##0.0\ &quot;Q&quot;;[Red]\-#,##0.0\ &quot;Q&quot;"/>
    <numFmt numFmtId="178" formatCode="0.0"/>
    <numFmt numFmtId="179" formatCode="_-* #,##0.0\ _Q_-;\-* #,##0.0\ _Q_-;_-* &quot;-&quot;??\ _Q_-;_-@_-"/>
    <numFmt numFmtId="180" formatCode="_-* #,##0\ _Q_-;\-* #,##0\ _Q_-;_-* &quot;-&quot;??\ _Q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5" borderId="0" xfId="0" applyFont="1" applyFill="1" applyAlignment="1">
      <alignment/>
    </xf>
    <xf numFmtId="0" fontId="0" fillId="15" borderId="0" xfId="0" applyFill="1" applyAlignment="1">
      <alignment/>
    </xf>
    <xf numFmtId="0" fontId="42" fillId="0" borderId="0" xfId="0" applyFont="1" applyAlignment="1">
      <alignment horizontal="center"/>
    </xf>
    <xf numFmtId="10" fontId="0" fillId="0" borderId="0" xfId="0" applyNumberFormat="1" applyAlignment="1">
      <alignment/>
    </xf>
    <xf numFmtId="9" fontId="0" fillId="0" borderId="0" xfId="54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45" fillId="15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17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3" fontId="45" fillId="33" borderId="0" xfId="0" applyNumberFormat="1" applyFont="1" applyFill="1" applyAlignment="1">
      <alignment/>
    </xf>
    <xf numFmtId="0" fontId="44" fillId="16" borderId="0" xfId="0" applyFont="1" applyFill="1" applyAlignment="1">
      <alignment/>
    </xf>
    <xf numFmtId="0" fontId="0" fillId="16" borderId="0" xfId="0" applyFill="1" applyAlignment="1">
      <alignment/>
    </xf>
    <xf numFmtId="3" fontId="0" fillId="0" borderId="0" xfId="0" applyNumberFormat="1" applyFill="1" applyAlignment="1">
      <alignment/>
    </xf>
    <xf numFmtId="3" fontId="45" fillId="16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10" xfId="0" applyNumberFormat="1" applyBorder="1" applyAlignment="1">
      <alignment/>
    </xf>
    <xf numFmtId="0" fontId="45" fillId="16" borderId="0" xfId="0" applyFont="1" applyFill="1" applyAlignment="1">
      <alignment/>
    </xf>
    <xf numFmtId="0" fontId="44" fillId="0" borderId="0" xfId="0" applyFont="1" applyAlignment="1">
      <alignment/>
    </xf>
    <xf numFmtId="3" fontId="43" fillId="0" borderId="0" xfId="0" applyNumberFormat="1" applyFon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175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10" fontId="0" fillId="0" borderId="0" xfId="0" applyNumberFormat="1" applyFill="1" applyAlignment="1">
      <alignment/>
    </xf>
    <xf numFmtId="9" fontId="0" fillId="0" borderId="0" xfId="54" applyFont="1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3" fontId="45" fillId="0" borderId="0" xfId="0" applyNumberFormat="1" applyFont="1" applyFill="1" applyAlignment="1">
      <alignment/>
    </xf>
    <xf numFmtId="3" fontId="37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0" fontId="45" fillId="0" borderId="0" xfId="0" applyFont="1" applyFill="1" applyAlignment="1">
      <alignment/>
    </xf>
    <xf numFmtId="3" fontId="43" fillId="0" borderId="0" xfId="0" applyNumberFormat="1" applyFont="1" applyFill="1" applyAlignment="1">
      <alignment/>
    </xf>
    <xf numFmtId="0" fontId="42" fillId="0" borderId="0" xfId="0" applyFont="1" applyFill="1" applyAlignment="1">
      <alignment horizontal="left"/>
    </xf>
    <xf numFmtId="8" fontId="0" fillId="0" borderId="0" xfId="0" applyNumberFormat="1" applyFill="1" applyAlignment="1">
      <alignment/>
    </xf>
    <xf numFmtId="171" fontId="0" fillId="0" borderId="0" xfId="48" applyFont="1" applyFill="1" applyAlignment="1">
      <alignment/>
    </xf>
    <xf numFmtId="0" fontId="0" fillId="0" borderId="0" xfId="0" applyFill="1" applyAlignment="1">
      <alignment horizontal="right"/>
    </xf>
    <xf numFmtId="8" fontId="0" fillId="0" borderId="0" xfId="0" applyNumberFormat="1" applyAlignment="1">
      <alignment/>
    </xf>
    <xf numFmtId="3" fontId="42" fillId="0" borderId="0" xfId="0" applyNumberFormat="1" applyFont="1" applyFill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31">
      <selection activeCell="F49" sqref="F49"/>
    </sheetView>
  </sheetViews>
  <sheetFormatPr defaultColWidth="11.421875" defaultRowHeight="15"/>
  <cols>
    <col min="1" max="1" width="11.421875" style="19" customWidth="1"/>
    <col min="2" max="3" width="14.7109375" style="19" customWidth="1"/>
    <col min="4" max="4" width="25.28125" style="19" customWidth="1"/>
    <col min="5" max="9" width="14.7109375" style="19" customWidth="1"/>
    <col min="10" max="11" width="11.421875" style="19" customWidth="1"/>
    <col min="12" max="12" width="12.421875" style="19" bestFit="1" customWidth="1"/>
    <col min="13" max="16384" width="11.421875" style="19" customWidth="1"/>
  </cols>
  <sheetData>
    <row r="1" spans="1:2" ht="18.75">
      <c r="A1" s="19" t="s">
        <v>2</v>
      </c>
      <c r="B1" s="30" t="s">
        <v>3</v>
      </c>
    </row>
    <row r="2" spans="1:8" ht="15">
      <c r="A2" s="31" t="s">
        <v>4</v>
      </c>
      <c r="B2" s="31" t="s">
        <v>5</v>
      </c>
      <c r="C2" s="31" t="s">
        <v>6</v>
      </c>
      <c r="D2" s="31" t="s">
        <v>7</v>
      </c>
      <c r="E2" s="31" t="s">
        <v>8</v>
      </c>
      <c r="F2" s="31" t="s">
        <v>9</v>
      </c>
      <c r="G2" s="31"/>
      <c r="H2" s="31"/>
    </row>
    <row r="3" spans="1:8" ht="15">
      <c r="A3" s="31"/>
      <c r="B3" s="31"/>
      <c r="C3" s="31" t="s">
        <v>10</v>
      </c>
      <c r="D3" s="31" t="s">
        <v>11</v>
      </c>
      <c r="E3" s="31" t="s">
        <v>12</v>
      </c>
      <c r="F3" s="31" t="s">
        <v>13</v>
      </c>
      <c r="G3" s="31"/>
      <c r="H3" s="31"/>
    </row>
    <row r="4" spans="3:5" ht="15">
      <c r="C4" s="32">
        <v>0.31</v>
      </c>
      <c r="D4" s="47" t="s">
        <v>55</v>
      </c>
      <c r="E4" s="33">
        <v>0.2</v>
      </c>
    </row>
    <row r="5" spans="1:6" ht="15">
      <c r="A5" s="19">
        <v>1</v>
      </c>
      <c r="B5" s="17">
        <v>30200</v>
      </c>
      <c r="C5" s="17">
        <f>+B5*$C$4</f>
        <v>9362</v>
      </c>
      <c r="D5" s="17">
        <f>+B5-C5</f>
        <v>20838</v>
      </c>
      <c r="E5" s="34">
        <f>POWER((1+$E$4),-1)</f>
        <v>0.8333333333333334</v>
      </c>
      <c r="F5" s="35">
        <f>+D5*E5</f>
        <v>17365</v>
      </c>
    </row>
    <row r="6" spans="1:6" ht="15">
      <c r="A6" s="19">
        <v>2</v>
      </c>
      <c r="B6" s="17">
        <f>+B5</f>
        <v>30200</v>
      </c>
      <c r="C6" s="17">
        <f aca="true" t="shared" si="0" ref="C6:C14">+B6*$C$4</f>
        <v>9362</v>
      </c>
      <c r="D6" s="17">
        <f aca="true" t="shared" si="1" ref="D6:D14">+B6-C6</f>
        <v>20838</v>
      </c>
      <c r="E6" s="34">
        <f>POWER((1+$E$4),-2)</f>
        <v>0.6944444444444444</v>
      </c>
      <c r="F6" s="35">
        <f aca="true" t="shared" si="2" ref="F6:F14">+D6*E6</f>
        <v>14470.833333333332</v>
      </c>
    </row>
    <row r="7" spans="1:8" ht="15">
      <c r="A7" s="19">
        <v>3</v>
      </c>
      <c r="B7" s="17">
        <f>+B6</f>
        <v>30200</v>
      </c>
      <c r="C7" s="17">
        <f t="shared" si="0"/>
        <v>9362</v>
      </c>
      <c r="D7" s="17">
        <f t="shared" si="1"/>
        <v>20838</v>
      </c>
      <c r="E7" s="34">
        <f>POWER((1+$E$4),-3)</f>
        <v>0.5787037037037037</v>
      </c>
      <c r="F7" s="35">
        <f t="shared" si="2"/>
        <v>12059.027777777777</v>
      </c>
      <c r="H7" s="17"/>
    </row>
    <row r="8" spans="1:6" ht="15">
      <c r="A8" s="19">
        <v>4</v>
      </c>
      <c r="B8" s="17">
        <f aca="true" t="shared" si="3" ref="B8:B14">+B7</f>
        <v>30200</v>
      </c>
      <c r="C8" s="17">
        <f t="shared" si="0"/>
        <v>9362</v>
      </c>
      <c r="D8" s="17">
        <f t="shared" si="1"/>
        <v>20838</v>
      </c>
      <c r="E8" s="34">
        <f>POWER((1+$E$4),-4)</f>
        <v>0.4822530864197531</v>
      </c>
      <c r="F8" s="35">
        <f t="shared" si="2"/>
        <v>10049.189814814816</v>
      </c>
    </row>
    <row r="9" spans="1:6" ht="15">
      <c r="A9" s="19">
        <v>5</v>
      </c>
      <c r="B9" s="17">
        <f t="shared" si="3"/>
        <v>30200</v>
      </c>
      <c r="C9" s="17">
        <f t="shared" si="0"/>
        <v>9362</v>
      </c>
      <c r="D9" s="17">
        <f t="shared" si="1"/>
        <v>20838</v>
      </c>
      <c r="E9" s="34">
        <f>POWER((1+$E$4),-5)</f>
        <v>0.4018775720164609</v>
      </c>
      <c r="F9" s="35">
        <f t="shared" si="2"/>
        <v>8374.324845679012</v>
      </c>
    </row>
    <row r="10" spans="1:6" ht="15">
      <c r="A10" s="19">
        <v>6</v>
      </c>
      <c r="B10" s="17">
        <f t="shared" si="3"/>
        <v>30200</v>
      </c>
      <c r="C10" s="17">
        <f t="shared" si="0"/>
        <v>9362</v>
      </c>
      <c r="D10" s="17">
        <f t="shared" si="1"/>
        <v>20838</v>
      </c>
      <c r="E10" s="34">
        <f>POWER((1+$E$4),-6)</f>
        <v>0.3348979766803841</v>
      </c>
      <c r="F10" s="35">
        <f t="shared" si="2"/>
        <v>6978.604038065844</v>
      </c>
    </row>
    <row r="11" spans="1:6" ht="15">
      <c r="A11" s="19">
        <v>7</v>
      </c>
      <c r="B11" s="17">
        <f t="shared" si="3"/>
        <v>30200</v>
      </c>
      <c r="C11" s="17">
        <f t="shared" si="0"/>
        <v>9362</v>
      </c>
      <c r="D11" s="17">
        <f t="shared" si="1"/>
        <v>20838</v>
      </c>
      <c r="E11" s="34">
        <f>POWER((1+$E$4),-7)</f>
        <v>0.2790816472336534</v>
      </c>
      <c r="F11" s="35">
        <f t="shared" si="2"/>
        <v>5815.50336505487</v>
      </c>
    </row>
    <row r="12" spans="1:6" ht="15">
      <c r="A12" s="19">
        <v>8</v>
      </c>
      <c r="B12" s="17">
        <f t="shared" si="3"/>
        <v>30200</v>
      </c>
      <c r="C12" s="17">
        <f t="shared" si="0"/>
        <v>9362</v>
      </c>
      <c r="D12" s="17">
        <f t="shared" si="1"/>
        <v>20838</v>
      </c>
      <c r="E12" s="34">
        <f>POWER((1+$E$4),-8)</f>
        <v>0.23256803936137788</v>
      </c>
      <c r="F12" s="35">
        <f t="shared" si="2"/>
        <v>4846.252804212392</v>
      </c>
    </row>
    <row r="13" spans="1:6" ht="15">
      <c r="A13" s="19">
        <v>9</v>
      </c>
      <c r="B13" s="17">
        <f>+B12</f>
        <v>30200</v>
      </c>
      <c r="C13" s="17">
        <f t="shared" si="0"/>
        <v>9362</v>
      </c>
      <c r="D13" s="17">
        <f t="shared" si="1"/>
        <v>20838</v>
      </c>
      <c r="E13" s="34">
        <f>POWER((1+$E$4),-9)</f>
        <v>0.1938066994678149</v>
      </c>
      <c r="F13" s="35">
        <f t="shared" si="2"/>
        <v>4038.544003510327</v>
      </c>
    </row>
    <row r="14" spans="1:6" ht="15">
      <c r="A14" s="19">
        <v>10</v>
      </c>
      <c r="B14" s="17">
        <f t="shared" si="3"/>
        <v>30200</v>
      </c>
      <c r="C14" s="17">
        <f t="shared" si="0"/>
        <v>9362</v>
      </c>
      <c r="D14" s="17">
        <f t="shared" si="1"/>
        <v>20838</v>
      </c>
      <c r="E14" s="34">
        <f>POWER((1+$E$4),-10)</f>
        <v>0.16150558288984573</v>
      </c>
      <c r="F14" s="35">
        <f t="shared" si="2"/>
        <v>3365.4533362586053</v>
      </c>
    </row>
    <row r="15" spans="1:6" ht="15.75">
      <c r="A15" s="19" t="s">
        <v>14</v>
      </c>
      <c r="B15" s="37">
        <f>SUM(B5:B14)</f>
        <v>302000</v>
      </c>
      <c r="C15" s="17"/>
      <c r="D15" s="49">
        <f>SUM(D5:D14)</f>
        <v>208380</v>
      </c>
      <c r="E15" s="36"/>
      <c r="F15" s="38">
        <f>SUM(F5:F14)</f>
        <v>87362.73331870697</v>
      </c>
    </row>
    <row r="16" spans="2:12" ht="21.75" customHeight="1">
      <c r="B16" s="17"/>
      <c r="C16" s="17"/>
      <c r="D16" s="17"/>
      <c r="F16" s="17"/>
      <c r="L16" s="46"/>
    </row>
    <row r="17" spans="1:12" ht="18.75">
      <c r="A17" s="19" t="s">
        <v>2</v>
      </c>
      <c r="B17" s="30" t="s">
        <v>15</v>
      </c>
      <c r="L17" s="46"/>
    </row>
    <row r="18" spans="1:12" ht="15">
      <c r="A18" s="31" t="s">
        <v>4</v>
      </c>
      <c r="B18" s="31" t="s">
        <v>48</v>
      </c>
      <c r="C18" s="31" t="s">
        <v>17</v>
      </c>
      <c r="D18" s="31" t="s">
        <v>18</v>
      </c>
      <c r="E18" s="31" t="s">
        <v>7</v>
      </c>
      <c r="F18" s="31" t="s">
        <v>8</v>
      </c>
      <c r="G18" s="31" t="s">
        <v>9</v>
      </c>
      <c r="L18" s="46"/>
    </row>
    <row r="19" spans="1:12" ht="15">
      <c r="A19" s="31"/>
      <c r="B19" s="31" t="s">
        <v>49</v>
      </c>
      <c r="C19" s="31"/>
      <c r="D19" s="31" t="s">
        <v>17</v>
      </c>
      <c r="E19" s="31" t="s">
        <v>20</v>
      </c>
      <c r="F19" s="31" t="s">
        <v>12</v>
      </c>
      <c r="G19" s="31" t="s">
        <v>13</v>
      </c>
      <c r="L19" s="46"/>
    </row>
    <row r="20" spans="3:12" ht="15">
      <c r="C20" s="32">
        <v>0.2</v>
      </c>
      <c r="D20" s="33">
        <f>+C4</f>
        <v>0.31</v>
      </c>
      <c r="E20" s="19" t="s">
        <v>56</v>
      </c>
      <c r="F20" s="19">
        <v>0.2</v>
      </c>
      <c r="L20" s="46"/>
    </row>
    <row r="21" spans="1:12" ht="15">
      <c r="A21" s="19">
        <v>0</v>
      </c>
      <c r="B21" s="17">
        <v>122500</v>
      </c>
      <c r="C21" s="17"/>
      <c r="D21" s="17"/>
      <c r="E21" s="17">
        <f>-B21+D21</f>
        <v>-122500</v>
      </c>
      <c r="F21" s="19">
        <v>1</v>
      </c>
      <c r="G21" s="19">
        <f>+E21</f>
        <v>-122500</v>
      </c>
      <c r="L21" s="46"/>
    </row>
    <row r="22" spans="1:12" ht="15">
      <c r="A22" s="19">
        <v>1</v>
      </c>
      <c r="B22" s="17">
        <v>0</v>
      </c>
      <c r="C22" s="17">
        <f>+B21*$C$20</f>
        <v>24500</v>
      </c>
      <c r="D22" s="17">
        <f>+C22*$D$20</f>
        <v>7595</v>
      </c>
      <c r="E22" s="17">
        <f>+D22</f>
        <v>7595</v>
      </c>
      <c r="F22" s="39">
        <f>POWER((1+$F$20),-1)</f>
        <v>0.8333333333333334</v>
      </c>
      <c r="G22" s="17">
        <f>+E22*F22</f>
        <v>6329.166666666667</v>
      </c>
      <c r="L22" s="46"/>
    </row>
    <row r="23" spans="1:7" ht="15">
      <c r="A23" s="19">
        <v>2</v>
      </c>
      <c r="B23" s="17">
        <v>0</v>
      </c>
      <c r="C23" s="17">
        <f>+C22</f>
        <v>24500</v>
      </c>
      <c r="D23" s="17">
        <f>+C23*$D$20</f>
        <v>7595</v>
      </c>
      <c r="E23" s="17">
        <f>+D23</f>
        <v>7595</v>
      </c>
      <c r="F23" s="39">
        <f>POWER((1+$F$20),-2)</f>
        <v>0.6944444444444444</v>
      </c>
      <c r="G23" s="17">
        <f>+E23*F23</f>
        <v>5274.305555555556</v>
      </c>
    </row>
    <row r="24" spans="1:7" ht="15">
      <c r="A24" s="19">
        <v>3</v>
      </c>
      <c r="B24" s="17">
        <v>0</v>
      </c>
      <c r="C24" s="17">
        <f>+C23</f>
        <v>24500</v>
      </c>
      <c r="D24" s="17">
        <f>+C24*$D$20</f>
        <v>7595</v>
      </c>
      <c r="E24" s="17">
        <f>+D24</f>
        <v>7595</v>
      </c>
      <c r="F24" s="39">
        <f>POWER((1+$F$20),-3)</f>
        <v>0.5787037037037037</v>
      </c>
      <c r="G24" s="17">
        <f>+E24*F24</f>
        <v>4395.25462962963</v>
      </c>
    </row>
    <row r="25" spans="1:7" ht="15">
      <c r="A25" s="19">
        <v>4</v>
      </c>
      <c r="B25" s="17">
        <f>+B24</f>
        <v>0</v>
      </c>
      <c r="C25" s="17">
        <f>+C24</f>
        <v>24500</v>
      </c>
      <c r="D25" s="17">
        <f>+C25*$D$20</f>
        <v>7595</v>
      </c>
      <c r="E25" s="17">
        <f>+D25</f>
        <v>7595</v>
      </c>
      <c r="F25" s="39">
        <f>POWER((1+$F$20),-4)</f>
        <v>0.4822530864197531</v>
      </c>
      <c r="G25" s="17">
        <f>+E25*F25</f>
        <v>3662.712191358025</v>
      </c>
    </row>
    <row r="26" spans="1:7" ht="15">
      <c r="A26" s="19">
        <v>5</v>
      </c>
      <c r="B26" s="17">
        <f>+B25</f>
        <v>0</v>
      </c>
      <c r="C26" s="17">
        <f>+C25</f>
        <v>24500</v>
      </c>
      <c r="D26" s="17">
        <f>+C26*$D$20</f>
        <v>7595</v>
      </c>
      <c r="E26" s="17">
        <f>+D26</f>
        <v>7595</v>
      </c>
      <c r="F26" s="39">
        <f>POWER((1+$F$20),-5)</f>
        <v>0.4018775720164609</v>
      </c>
      <c r="G26" s="17">
        <f>+E26*F26</f>
        <v>3052.2601594650205</v>
      </c>
    </row>
    <row r="27" spans="2:9" ht="15">
      <c r="B27" s="17"/>
      <c r="C27" s="17"/>
      <c r="D27" s="17"/>
      <c r="E27" s="17">
        <f>SUM(E22:E26)</f>
        <v>37975</v>
      </c>
      <c r="F27" s="17"/>
      <c r="G27" s="17">
        <f>SUM(G21:G26)</f>
        <v>-99786.3007973251</v>
      </c>
      <c r="I27" s="19" t="s">
        <v>50</v>
      </c>
    </row>
    <row r="28" spans="1:10" ht="15.75">
      <c r="A28" s="19" t="s">
        <v>14</v>
      </c>
      <c r="B28" s="17">
        <f>SUM(B22:B27)</f>
        <v>0</v>
      </c>
      <c r="C28" s="17">
        <f>SUM(C22:C27)</f>
        <v>122500</v>
      </c>
      <c r="D28" s="17">
        <f>SUM(D22:D27)</f>
        <v>37975</v>
      </c>
      <c r="E28" s="17">
        <f>SUM(E21:E26)</f>
        <v>-84525</v>
      </c>
      <c r="F28" s="17"/>
      <c r="G28" s="37">
        <f>SUM(G22:G26)</f>
        <v>22713.6992026749</v>
      </c>
      <c r="I28" s="44" t="s">
        <v>51</v>
      </c>
      <c r="J28" s="19">
        <v>122500</v>
      </c>
    </row>
    <row r="29" spans="9:10" ht="15">
      <c r="I29" s="44" t="s">
        <v>52</v>
      </c>
      <c r="J29" s="32">
        <v>0.174</v>
      </c>
    </row>
    <row r="30" spans="9:11" ht="15">
      <c r="I30" s="44" t="s">
        <v>53</v>
      </c>
      <c r="J30" s="19">
        <v>5</v>
      </c>
      <c r="K30" s="19" t="s">
        <v>54</v>
      </c>
    </row>
    <row r="31" spans="6:9" ht="15">
      <c r="F31" s="17"/>
      <c r="G31" s="40"/>
      <c r="I31" s="44"/>
    </row>
    <row r="32" spans="1:9" ht="18.75">
      <c r="A32" s="19" t="s">
        <v>2</v>
      </c>
      <c r="B32" s="30" t="s">
        <v>21</v>
      </c>
      <c r="I32" s="45">
        <f>PMT(J29,J30,J28,0)</f>
        <v>-38641.691608331814</v>
      </c>
    </row>
    <row r="33" spans="1:9" ht="15">
      <c r="A33" s="31" t="s">
        <v>4</v>
      </c>
      <c r="B33" s="31" t="s">
        <v>22</v>
      </c>
      <c r="C33" s="31" t="s">
        <v>23</v>
      </c>
      <c r="D33" s="31" t="s">
        <v>24</v>
      </c>
      <c r="E33" s="31" t="s">
        <v>25</v>
      </c>
      <c r="F33" s="31" t="s">
        <v>26</v>
      </c>
      <c r="G33" s="31" t="s">
        <v>27</v>
      </c>
      <c r="H33" s="31" t="s">
        <v>8</v>
      </c>
      <c r="I33" s="31" t="s">
        <v>9</v>
      </c>
    </row>
    <row r="34" spans="1:9" ht="15">
      <c r="A34" s="31"/>
      <c r="B34" s="31" t="s">
        <v>28</v>
      </c>
      <c r="C34" s="31"/>
      <c r="D34" s="31" t="s">
        <v>29</v>
      </c>
      <c r="E34" s="31" t="s">
        <v>30</v>
      </c>
      <c r="F34" s="31" t="s">
        <v>31</v>
      </c>
      <c r="G34" s="31" t="s">
        <v>10</v>
      </c>
      <c r="H34" s="31" t="s">
        <v>12</v>
      </c>
      <c r="I34" s="31" t="s">
        <v>13</v>
      </c>
    </row>
    <row r="35" spans="3:8" ht="15">
      <c r="C35" s="32">
        <f>+J29</f>
        <v>0.174</v>
      </c>
      <c r="D35" s="33"/>
      <c r="G35" s="32">
        <f>+C4</f>
        <v>0.31</v>
      </c>
      <c r="H35" s="19">
        <v>0.2</v>
      </c>
    </row>
    <row r="36" spans="1:9" ht="15">
      <c r="A36" s="19">
        <v>1</v>
      </c>
      <c r="B36" s="17">
        <f>+B21</f>
        <v>122500</v>
      </c>
      <c r="C36" s="17">
        <f>ROUNDUP(B36*$C$35,2)</f>
        <v>21315</v>
      </c>
      <c r="D36" s="17">
        <f>+$I$32</f>
        <v>-38641.691608331814</v>
      </c>
      <c r="E36" s="17">
        <f>+D36+C36</f>
        <v>-17326.691608331814</v>
      </c>
      <c r="F36" s="17">
        <f>+B36+E36</f>
        <v>105173.3083916682</v>
      </c>
      <c r="G36" s="17">
        <f>+C36*$G$35</f>
        <v>6607.65</v>
      </c>
      <c r="H36" s="39">
        <f>POWER((1+$F$20),-1)</f>
        <v>0.8333333333333334</v>
      </c>
      <c r="I36" s="17">
        <f>+G36*H36</f>
        <v>5506.375</v>
      </c>
    </row>
    <row r="37" spans="1:9" ht="15">
      <c r="A37" s="19">
        <v>2</v>
      </c>
      <c r="B37" s="17">
        <f>+F36</f>
        <v>105173.3083916682</v>
      </c>
      <c r="C37" s="17">
        <f>ROUNDUP(B37*$C$35,2)</f>
        <v>18300.16</v>
      </c>
      <c r="D37" s="17">
        <f>+$I$32</f>
        <v>-38641.691608331814</v>
      </c>
      <c r="E37" s="17">
        <f>+D37+C37</f>
        <v>-20341.531608331814</v>
      </c>
      <c r="F37" s="17">
        <f>+B37+E37</f>
        <v>84831.77678333638</v>
      </c>
      <c r="G37" s="17">
        <f>+C37*$G$35</f>
        <v>5673.0496</v>
      </c>
      <c r="H37" s="39">
        <f>POWER((1+$F$20),-2)</f>
        <v>0.6944444444444444</v>
      </c>
      <c r="I37" s="17">
        <f>+G37*H37</f>
        <v>3939.617777777778</v>
      </c>
    </row>
    <row r="38" spans="1:9" ht="15">
      <c r="A38" s="19">
        <v>3</v>
      </c>
      <c r="B38" s="17">
        <f>+F37</f>
        <v>84831.77678333638</v>
      </c>
      <c r="C38" s="17">
        <f>ROUNDUP(B38*$C$35,2)</f>
        <v>14760.73</v>
      </c>
      <c r="D38" s="17">
        <f>+$I$32</f>
        <v>-38641.691608331814</v>
      </c>
      <c r="E38" s="17">
        <f>+D38+C38</f>
        <v>-23880.961608331814</v>
      </c>
      <c r="F38" s="17">
        <f>+B38+E38</f>
        <v>60950.815175004565</v>
      </c>
      <c r="G38" s="17">
        <f>+C38*$G$35</f>
        <v>4575.8263</v>
      </c>
      <c r="H38" s="39">
        <f>POWER((1+$F$20),-3)</f>
        <v>0.5787037037037037</v>
      </c>
      <c r="I38" s="17">
        <f>+G38*H38</f>
        <v>2648.0476273148147</v>
      </c>
    </row>
    <row r="39" spans="1:9" ht="15">
      <c r="A39" s="19">
        <v>4</v>
      </c>
      <c r="B39" s="17">
        <f>+F38</f>
        <v>60950.815175004565</v>
      </c>
      <c r="C39" s="17">
        <f>ROUNDUP(B39*$C$35,2)</f>
        <v>10605.45</v>
      </c>
      <c r="D39" s="17">
        <f>+$I$32</f>
        <v>-38641.691608331814</v>
      </c>
      <c r="E39" s="17">
        <f>+D39+C39</f>
        <v>-28036.241608331813</v>
      </c>
      <c r="F39" s="17">
        <f>+B39+E39</f>
        <v>32914.573566672756</v>
      </c>
      <c r="G39" s="17">
        <f>+C39*$G$35</f>
        <v>3287.6895000000004</v>
      </c>
      <c r="H39" s="39">
        <f>POWER((1+$F$20),-4)</f>
        <v>0.4822530864197531</v>
      </c>
      <c r="I39" s="17">
        <f>+G39*H39</f>
        <v>1585.498408564815</v>
      </c>
    </row>
    <row r="40" spans="1:9" ht="15">
      <c r="A40" s="19">
        <v>5</v>
      </c>
      <c r="B40" s="17">
        <f>+F39</f>
        <v>32914.573566672756</v>
      </c>
      <c r="C40" s="17">
        <f>ROUNDUP(B40*$C$35,2)</f>
        <v>5727.14</v>
      </c>
      <c r="D40" s="17">
        <f>+$I$32</f>
        <v>-38641.691608331814</v>
      </c>
      <c r="E40" s="17">
        <f>+D40+C40</f>
        <v>-32914.551608331814</v>
      </c>
      <c r="F40" s="17">
        <f>+B40+E40</f>
        <v>0.02195834094163729</v>
      </c>
      <c r="G40" s="17">
        <f>+C40*$G$35</f>
        <v>1775.4134000000001</v>
      </c>
      <c r="H40" s="39">
        <f>POWER((1+$F$20),-5)</f>
        <v>0.4018775720164609</v>
      </c>
      <c r="I40" s="17">
        <f>+G40*H40</f>
        <v>713.4988265174898</v>
      </c>
    </row>
    <row r="41" spans="1:9" ht="15.75">
      <c r="A41" s="19" t="s">
        <v>14</v>
      </c>
      <c r="B41" s="17">
        <f>SUM(B36:B40)</f>
        <v>406370.47391668183</v>
      </c>
      <c r="C41" s="17">
        <f>SUM(C36:C40)</f>
        <v>70708.48</v>
      </c>
      <c r="D41" s="17">
        <f>SUM(D36:D40)</f>
        <v>-193208.45804165906</v>
      </c>
      <c r="E41" s="17">
        <f>SUM(E36:E40)</f>
        <v>-122499.97804165905</v>
      </c>
      <c r="F41" s="17"/>
      <c r="G41" s="17">
        <f>SUM(G36:G40)</f>
        <v>21919.628800000002</v>
      </c>
      <c r="H41" s="17"/>
      <c r="I41" s="37">
        <f>SUM(I36:I40)</f>
        <v>14393.037640174898</v>
      </c>
    </row>
    <row r="43" ht="15">
      <c r="A43" s="19" t="s">
        <v>32</v>
      </c>
    </row>
    <row r="44" spans="1:4" ht="15">
      <c r="A44" s="19" t="s">
        <v>33</v>
      </c>
      <c r="D44" s="17">
        <f>+G21</f>
        <v>-122500</v>
      </c>
    </row>
    <row r="45" spans="1:9" ht="15">
      <c r="A45" s="19" t="s">
        <v>34</v>
      </c>
      <c r="C45" s="17">
        <f>+G28</f>
        <v>22713.6992026749</v>
      </c>
      <c r="G45" s="50" t="s">
        <v>58</v>
      </c>
      <c r="H45" s="51" t="s">
        <v>59</v>
      </c>
      <c r="I45" s="52" t="s">
        <v>60</v>
      </c>
    </row>
    <row r="46" spans="1:9" ht="15.75" thickBot="1">
      <c r="A46" s="19" t="s">
        <v>35</v>
      </c>
      <c r="C46" s="41">
        <f>+I41</f>
        <v>14393.037640174898</v>
      </c>
      <c r="D46" s="41">
        <f>SUM(C45:C46)</f>
        <v>37106.7368428498</v>
      </c>
      <c r="G46" s="53"/>
      <c r="H46" s="53"/>
      <c r="I46" s="51" t="s">
        <v>61</v>
      </c>
    </row>
    <row r="47" spans="1:4" ht="15.75">
      <c r="A47" s="42" t="s">
        <v>36</v>
      </c>
      <c r="B47" s="42"/>
      <c r="C47" s="42"/>
      <c r="D47" s="37">
        <f>SUM(D44:D46)</f>
        <v>-85393.2631571502</v>
      </c>
    </row>
    <row r="48" ht="15">
      <c r="D48" s="19" t="s">
        <v>37</v>
      </c>
    </row>
    <row r="49" ht="18.75">
      <c r="A49" s="30" t="s">
        <v>38</v>
      </c>
    </row>
    <row r="51" spans="1:4" ht="15">
      <c r="A51" s="19" t="s">
        <v>39</v>
      </c>
      <c r="C51" s="31" t="s">
        <v>40</v>
      </c>
      <c r="D51" s="31" t="s">
        <v>41</v>
      </c>
    </row>
    <row r="52" spans="3:4" ht="15">
      <c r="C52" s="31" t="s">
        <v>42</v>
      </c>
      <c r="D52" s="31" t="s">
        <v>57</v>
      </c>
    </row>
    <row r="54" spans="1:5" ht="21">
      <c r="A54" s="29" t="s">
        <v>43</v>
      </c>
      <c r="B54" s="29"/>
      <c r="C54" s="43">
        <f>+B15</f>
        <v>302000</v>
      </c>
      <c r="D54" s="43">
        <f>+F15</f>
        <v>87362.73331870697</v>
      </c>
      <c r="E54" s="17"/>
    </row>
    <row r="55" spans="1:4" ht="21">
      <c r="A55" s="29" t="s">
        <v>44</v>
      </c>
      <c r="B55" s="29"/>
      <c r="C55" s="43">
        <f>-E21</f>
        <v>122500</v>
      </c>
      <c r="D55" s="43">
        <f>+G27*-1</f>
        <v>99786.3007973251</v>
      </c>
    </row>
    <row r="56" spans="1:5" ht="21">
      <c r="A56" s="29" t="s">
        <v>45</v>
      </c>
      <c r="B56" s="29"/>
      <c r="C56" s="43">
        <f>-D41</f>
        <v>193208.45804165906</v>
      </c>
      <c r="D56" s="43">
        <f>+D47*-1</f>
        <v>85393.2631571502</v>
      </c>
      <c r="E56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52">
      <selection activeCell="D64" sqref="D64"/>
    </sheetView>
  </sheetViews>
  <sheetFormatPr defaultColWidth="11.421875" defaultRowHeight="15"/>
  <cols>
    <col min="2" max="2" width="14.7109375" style="0" customWidth="1"/>
    <col min="3" max="3" width="18.00390625" style="0" bestFit="1" customWidth="1"/>
    <col min="4" max="4" width="19.140625" style="0" customWidth="1"/>
    <col min="5" max="9" width="14.7109375" style="0" customWidth="1"/>
  </cols>
  <sheetData>
    <row r="1" ht="15">
      <c r="A1" t="s">
        <v>0</v>
      </c>
    </row>
    <row r="2" ht="15">
      <c r="A2" t="s">
        <v>1</v>
      </c>
    </row>
    <row r="3" ht="21">
      <c r="E3" s="1"/>
    </row>
    <row r="4" spans="1:3" ht="18.75">
      <c r="A4" t="s">
        <v>2</v>
      </c>
      <c r="B4" s="2" t="s">
        <v>3</v>
      </c>
      <c r="C4" s="3"/>
    </row>
    <row r="5" spans="1:9" ht="1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/>
      <c r="H5" s="4"/>
      <c r="I5" s="4"/>
    </row>
    <row r="6" spans="1:9" ht="15">
      <c r="A6" s="4"/>
      <c r="B6" s="4"/>
      <c r="C6" s="4" t="s">
        <v>10</v>
      </c>
      <c r="D6" s="4" t="s">
        <v>11</v>
      </c>
      <c r="E6" s="4" t="s">
        <v>12</v>
      </c>
      <c r="F6" s="4" t="s">
        <v>13</v>
      </c>
      <c r="G6" s="4"/>
      <c r="H6" s="4"/>
      <c r="I6" s="4"/>
    </row>
    <row r="7" spans="3:5" ht="15">
      <c r="C7" s="5">
        <v>0.31</v>
      </c>
      <c r="E7" s="6">
        <v>0.2</v>
      </c>
    </row>
    <row r="8" spans="1:6" ht="15">
      <c r="A8">
        <v>1</v>
      </c>
      <c r="B8" s="7">
        <v>25000</v>
      </c>
      <c r="C8" s="7">
        <f>+B8*0.31</f>
        <v>7750</v>
      </c>
      <c r="D8" s="7">
        <f>+B8-C8</f>
        <v>17250</v>
      </c>
      <c r="E8" s="8">
        <f>POWER((1+$E$7),-A8)</f>
        <v>0.8333333333333334</v>
      </c>
      <c r="F8" s="7">
        <f>+E8*D8</f>
        <v>14375</v>
      </c>
    </row>
    <row r="9" spans="1:6" ht="15">
      <c r="A9">
        <v>2</v>
      </c>
      <c r="B9" s="7">
        <f>+B8</f>
        <v>25000</v>
      </c>
      <c r="C9" s="7">
        <f aca="true" t="shared" si="0" ref="C9:C17">+B9*0.31</f>
        <v>7750</v>
      </c>
      <c r="D9" s="7">
        <f aca="true" t="shared" si="1" ref="D9:D17">+B9-C9</f>
        <v>17250</v>
      </c>
      <c r="E9" s="8">
        <f aca="true" t="shared" si="2" ref="E9:E17">POWER((1+$E$7),-A9)</f>
        <v>0.6944444444444444</v>
      </c>
      <c r="F9" s="7">
        <f aca="true" t="shared" si="3" ref="F9:F17">+E9*D9</f>
        <v>11979.166666666666</v>
      </c>
    </row>
    <row r="10" spans="1:6" ht="15">
      <c r="A10">
        <v>3</v>
      </c>
      <c r="B10" s="7">
        <f>+B9</f>
        <v>25000</v>
      </c>
      <c r="C10" s="7">
        <f t="shared" si="0"/>
        <v>7750</v>
      </c>
      <c r="D10" s="7">
        <f t="shared" si="1"/>
        <v>17250</v>
      </c>
      <c r="E10" s="8">
        <f t="shared" si="2"/>
        <v>0.5787037037037037</v>
      </c>
      <c r="F10" s="7">
        <f t="shared" si="3"/>
        <v>9982.638888888889</v>
      </c>
    </row>
    <row r="11" spans="1:6" ht="15">
      <c r="A11">
        <v>4</v>
      </c>
      <c r="B11" s="7">
        <f aca="true" t="shared" si="4" ref="B11:B17">+B10</f>
        <v>25000</v>
      </c>
      <c r="C11" s="7">
        <f t="shared" si="0"/>
        <v>7750</v>
      </c>
      <c r="D11" s="7">
        <f t="shared" si="1"/>
        <v>17250</v>
      </c>
      <c r="E11" s="8">
        <f t="shared" si="2"/>
        <v>0.4822530864197531</v>
      </c>
      <c r="F11" s="7">
        <f t="shared" si="3"/>
        <v>8318.86574074074</v>
      </c>
    </row>
    <row r="12" spans="1:6" ht="15">
      <c r="A12">
        <v>5</v>
      </c>
      <c r="B12" s="7">
        <f t="shared" si="4"/>
        <v>25000</v>
      </c>
      <c r="C12" s="7">
        <f t="shared" si="0"/>
        <v>7750</v>
      </c>
      <c r="D12" s="7">
        <f t="shared" si="1"/>
        <v>17250</v>
      </c>
      <c r="E12" s="8">
        <f t="shared" si="2"/>
        <v>0.4018775720164609</v>
      </c>
      <c r="F12" s="7">
        <f t="shared" si="3"/>
        <v>6932.388117283951</v>
      </c>
    </row>
    <row r="13" spans="1:6" ht="15">
      <c r="A13">
        <v>6</v>
      </c>
      <c r="B13" s="7">
        <f t="shared" si="4"/>
        <v>25000</v>
      </c>
      <c r="C13" s="7">
        <f t="shared" si="0"/>
        <v>7750</v>
      </c>
      <c r="D13" s="7">
        <f t="shared" si="1"/>
        <v>17250</v>
      </c>
      <c r="E13" s="8">
        <f t="shared" si="2"/>
        <v>0.3348979766803841</v>
      </c>
      <c r="F13" s="7">
        <f t="shared" si="3"/>
        <v>5776.990097736626</v>
      </c>
    </row>
    <row r="14" spans="1:6" ht="15">
      <c r="A14">
        <v>7</v>
      </c>
      <c r="B14" s="7">
        <f t="shared" si="4"/>
        <v>25000</v>
      </c>
      <c r="C14" s="7">
        <f t="shared" si="0"/>
        <v>7750</v>
      </c>
      <c r="D14" s="7">
        <f t="shared" si="1"/>
        <v>17250</v>
      </c>
      <c r="E14" s="8">
        <f t="shared" si="2"/>
        <v>0.2790816472336534</v>
      </c>
      <c r="F14" s="7">
        <f t="shared" si="3"/>
        <v>4814.1584147805215</v>
      </c>
    </row>
    <row r="15" spans="1:6" ht="15">
      <c r="A15">
        <v>8</v>
      </c>
      <c r="B15" s="7">
        <f t="shared" si="4"/>
        <v>25000</v>
      </c>
      <c r="C15" s="7">
        <f t="shared" si="0"/>
        <v>7750</v>
      </c>
      <c r="D15" s="7">
        <f t="shared" si="1"/>
        <v>17250</v>
      </c>
      <c r="E15" s="8">
        <f t="shared" si="2"/>
        <v>0.23256803936137788</v>
      </c>
      <c r="F15" s="7">
        <f t="shared" si="3"/>
        <v>4011.7986789837682</v>
      </c>
    </row>
    <row r="16" spans="1:6" ht="15">
      <c r="A16">
        <v>9</v>
      </c>
      <c r="B16" s="7">
        <f>+B15</f>
        <v>25000</v>
      </c>
      <c r="C16" s="7">
        <f t="shared" si="0"/>
        <v>7750</v>
      </c>
      <c r="D16" s="7">
        <f t="shared" si="1"/>
        <v>17250</v>
      </c>
      <c r="E16" s="8">
        <f t="shared" si="2"/>
        <v>0.1938066994678149</v>
      </c>
      <c r="F16" s="7">
        <f t="shared" si="3"/>
        <v>3343.165565819807</v>
      </c>
    </row>
    <row r="17" spans="1:6" ht="15">
      <c r="A17">
        <v>10</v>
      </c>
      <c r="B17" s="7">
        <f t="shared" si="4"/>
        <v>25000</v>
      </c>
      <c r="C17" s="7">
        <f t="shared" si="0"/>
        <v>7750</v>
      </c>
      <c r="D17" s="7">
        <f t="shared" si="1"/>
        <v>17250</v>
      </c>
      <c r="E17" s="8">
        <f t="shared" si="2"/>
        <v>0.16150558288984573</v>
      </c>
      <c r="F17" s="7">
        <f t="shared" si="3"/>
        <v>2785.971304849839</v>
      </c>
    </row>
    <row r="18" spans="2:7" ht="15">
      <c r="B18" s="7"/>
      <c r="C18" s="7"/>
      <c r="D18" s="7"/>
      <c r="E18" s="8"/>
      <c r="F18" s="7">
        <f>SUM(F8:F17)</f>
        <v>72320.14347575081</v>
      </c>
      <c r="G18" s="7"/>
    </row>
    <row r="19" spans="2:7" ht="15.75">
      <c r="B19" s="9">
        <f>SUM(B8:B17)</f>
        <v>250000</v>
      </c>
      <c r="C19" s="7"/>
      <c r="D19" s="7"/>
      <c r="E19" s="8"/>
      <c r="F19" s="7"/>
      <c r="G19" s="7"/>
    </row>
    <row r="20" spans="2:7" ht="15">
      <c r="B20" s="7"/>
      <c r="C20" s="7"/>
      <c r="D20" s="7"/>
      <c r="F20" s="7"/>
      <c r="G20" s="7"/>
    </row>
    <row r="21" ht="15">
      <c r="A21" t="s">
        <v>0</v>
      </c>
    </row>
    <row r="22" ht="15">
      <c r="A22" t="s">
        <v>1</v>
      </c>
    </row>
    <row r="24" spans="1:3" ht="18.75">
      <c r="A24" t="s">
        <v>2</v>
      </c>
      <c r="B24" s="10" t="s">
        <v>15</v>
      </c>
      <c r="C24" s="11"/>
    </row>
    <row r="25" spans="1:7" ht="15">
      <c r="A25" s="4" t="s">
        <v>4</v>
      </c>
      <c r="B25" s="4" t="s">
        <v>16</v>
      </c>
      <c r="C25" s="4" t="s">
        <v>17</v>
      </c>
      <c r="D25" s="4" t="s">
        <v>18</v>
      </c>
      <c r="E25" s="4" t="s">
        <v>7</v>
      </c>
      <c r="F25" s="4" t="s">
        <v>8</v>
      </c>
      <c r="G25" s="4" t="s">
        <v>9</v>
      </c>
    </row>
    <row r="26" spans="1:7" ht="15">
      <c r="A26" s="4"/>
      <c r="B26" s="4" t="s">
        <v>19</v>
      </c>
      <c r="C26" s="4"/>
      <c r="D26" s="4" t="s">
        <v>17</v>
      </c>
      <c r="E26" s="4" t="s">
        <v>20</v>
      </c>
      <c r="F26" s="4" t="s">
        <v>12</v>
      </c>
      <c r="G26" s="4" t="s">
        <v>13</v>
      </c>
    </row>
    <row r="27" spans="3:6" ht="15">
      <c r="C27" s="5">
        <v>0.2</v>
      </c>
      <c r="D27" s="6">
        <f>+C7</f>
        <v>0.31</v>
      </c>
      <c r="F27" s="26">
        <f>+E7</f>
        <v>0.2</v>
      </c>
    </row>
    <row r="28" spans="1:7" ht="15">
      <c r="A28">
        <v>0</v>
      </c>
      <c r="B28" s="7">
        <v>120000</v>
      </c>
      <c r="C28" s="7"/>
      <c r="D28" s="7"/>
      <c r="E28" s="7">
        <f>+B28*-1</f>
        <v>-120000</v>
      </c>
      <c r="F28">
        <v>1</v>
      </c>
      <c r="G28">
        <f aca="true" t="shared" si="5" ref="G28:G33">+F28*E28</f>
        <v>-120000</v>
      </c>
    </row>
    <row r="29" spans="1:7" ht="15">
      <c r="A29">
        <v>1</v>
      </c>
      <c r="B29" s="7"/>
      <c r="C29" s="7">
        <f>+$B$28*0.2</f>
        <v>24000</v>
      </c>
      <c r="D29" s="7">
        <f>+C29*0.31</f>
        <v>7440</v>
      </c>
      <c r="E29" s="7">
        <f>+D29</f>
        <v>7440</v>
      </c>
      <c r="F29" s="12">
        <f>POWER((1+$F$27),-A29)</f>
        <v>0.8333333333333334</v>
      </c>
      <c r="G29" s="28">
        <f t="shared" si="5"/>
        <v>6200</v>
      </c>
    </row>
    <row r="30" spans="1:7" ht="15">
      <c r="A30">
        <v>2</v>
      </c>
      <c r="B30" s="7"/>
      <c r="C30" s="7">
        <f>+$B$28*0.2</f>
        <v>24000</v>
      </c>
      <c r="D30" s="7">
        <f>+C30*0.31</f>
        <v>7440</v>
      </c>
      <c r="E30" s="7">
        <f>+D30</f>
        <v>7440</v>
      </c>
      <c r="F30" s="12">
        <f>POWER((1+$F$27),-A30)</f>
        <v>0.6944444444444444</v>
      </c>
      <c r="G30" s="28">
        <f t="shared" si="5"/>
        <v>5166.666666666666</v>
      </c>
    </row>
    <row r="31" spans="1:7" ht="15">
      <c r="A31">
        <v>3</v>
      </c>
      <c r="B31" s="7"/>
      <c r="C31" s="7">
        <f>+$B$28*0.2</f>
        <v>24000</v>
      </c>
      <c r="D31" s="7">
        <f>+C31*0.31</f>
        <v>7440</v>
      </c>
      <c r="E31" s="7">
        <f>+D31</f>
        <v>7440</v>
      </c>
      <c r="F31" s="12">
        <f>POWER((1+$F$27),-A31)</f>
        <v>0.5787037037037037</v>
      </c>
      <c r="G31" s="28">
        <f t="shared" si="5"/>
        <v>4305.555555555556</v>
      </c>
    </row>
    <row r="32" spans="1:7" ht="15">
      <c r="A32">
        <v>4</v>
      </c>
      <c r="B32" s="7"/>
      <c r="C32" s="7">
        <f>+$B$28*0.2</f>
        <v>24000</v>
      </c>
      <c r="D32" s="7">
        <f>+C32*0.31</f>
        <v>7440</v>
      </c>
      <c r="E32" s="7">
        <f>+D32</f>
        <v>7440</v>
      </c>
      <c r="F32" s="12">
        <f>POWER((1+$F$27),-A32)</f>
        <v>0.4822530864197531</v>
      </c>
      <c r="G32" s="28">
        <f t="shared" si="5"/>
        <v>3587.962962962963</v>
      </c>
    </row>
    <row r="33" spans="1:8" ht="15">
      <c r="A33">
        <v>5</v>
      </c>
      <c r="B33" s="7"/>
      <c r="C33" s="7">
        <f>+$B$28*0.2</f>
        <v>24000</v>
      </c>
      <c r="D33" s="7">
        <f>+C33*0.31</f>
        <v>7440</v>
      </c>
      <c r="E33" s="7">
        <f>+D33</f>
        <v>7440</v>
      </c>
      <c r="F33" s="12">
        <f>POWER((1+$F$27),-A33)</f>
        <v>0.4018775720164609</v>
      </c>
      <c r="G33" s="28">
        <f t="shared" si="5"/>
        <v>2989.9691358024693</v>
      </c>
      <c r="H33" s="28">
        <f>SUM(G29:G33)</f>
        <v>22250.154320987655</v>
      </c>
    </row>
    <row r="34" ht="15">
      <c r="G34" s="28">
        <f>SUM(G28:G33)</f>
        <v>-97749.84567901233</v>
      </c>
    </row>
    <row r="35" ht="15">
      <c r="A35" t="s">
        <v>0</v>
      </c>
    </row>
    <row r="36" spans="1:8" ht="15">
      <c r="A36" t="s">
        <v>1</v>
      </c>
      <c r="E36" t="s">
        <v>30</v>
      </c>
      <c r="F36" s="7">
        <f>+B42</f>
        <v>120000</v>
      </c>
      <c r="G36" s="24">
        <f>PMT(F37,F38,F36)</f>
        <v>-37853.08565714137</v>
      </c>
      <c r="H36" s="48"/>
    </row>
    <row r="37" spans="5:6" ht="15">
      <c r="E37" s="24" t="s">
        <v>46</v>
      </c>
      <c r="F37" s="27">
        <v>0.174</v>
      </c>
    </row>
    <row r="38" spans="1:6" ht="18.75">
      <c r="A38" t="s">
        <v>2</v>
      </c>
      <c r="B38" s="15" t="s">
        <v>21</v>
      </c>
      <c r="C38" s="16"/>
      <c r="E38" t="s">
        <v>47</v>
      </c>
      <c r="F38">
        <v>5</v>
      </c>
    </row>
    <row r="39" spans="1:9" ht="15">
      <c r="A39" s="4" t="s">
        <v>4</v>
      </c>
      <c r="B39" s="4" t="s">
        <v>22</v>
      </c>
      <c r="C39" s="4" t="s">
        <v>23</v>
      </c>
      <c r="D39" s="4" t="s">
        <v>24</v>
      </c>
      <c r="E39" s="4" t="s">
        <v>25</v>
      </c>
      <c r="F39" s="4" t="s">
        <v>26</v>
      </c>
      <c r="G39" s="4" t="s">
        <v>27</v>
      </c>
      <c r="H39" s="4" t="s">
        <v>8</v>
      </c>
      <c r="I39" s="4" t="s">
        <v>9</v>
      </c>
    </row>
    <row r="40" spans="1:9" ht="15">
      <c r="A40" s="4"/>
      <c r="B40" s="4" t="s">
        <v>28</v>
      </c>
      <c r="C40" s="4"/>
      <c r="D40" s="4" t="s">
        <v>29</v>
      </c>
      <c r="E40" s="4" t="s">
        <v>30</v>
      </c>
      <c r="F40" s="4" t="s">
        <v>31</v>
      </c>
      <c r="G40" s="4" t="s">
        <v>10</v>
      </c>
      <c r="H40" s="4" t="s">
        <v>12</v>
      </c>
      <c r="I40" s="4" t="s">
        <v>13</v>
      </c>
    </row>
    <row r="41" spans="3:8" ht="15">
      <c r="C41" s="5">
        <v>0.174</v>
      </c>
      <c r="D41" s="6"/>
      <c r="G41" s="5">
        <f>+C7</f>
        <v>0.31</v>
      </c>
      <c r="H41" s="26">
        <f>+F27</f>
        <v>0.2</v>
      </c>
    </row>
    <row r="42" spans="1:9" ht="15">
      <c r="A42">
        <v>1</v>
      </c>
      <c r="B42" s="7">
        <f>+B28</f>
        <v>120000</v>
      </c>
      <c r="C42" s="7">
        <f>ROUNDUP(B42*$C$41,2)</f>
        <v>20880</v>
      </c>
      <c r="D42" s="7">
        <f>+G36</f>
        <v>-37853.08565714137</v>
      </c>
      <c r="E42" s="7">
        <f>+D42+C42</f>
        <v>-16973.085657141368</v>
      </c>
      <c r="F42" s="7">
        <f>+B42+E42</f>
        <v>103026.91434285862</v>
      </c>
      <c r="G42" s="7">
        <f>+C42*$G$41</f>
        <v>6472.8</v>
      </c>
      <c r="H42" s="12">
        <f>POWER((1+$F$27),-1)</f>
        <v>0.8333333333333334</v>
      </c>
      <c r="I42" s="17">
        <f>+G42*H42</f>
        <v>5394</v>
      </c>
    </row>
    <row r="43" spans="1:9" ht="15">
      <c r="A43">
        <v>2</v>
      </c>
      <c r="B43" s="7">
        <f>+F42</f>
        <v>103026.91434285862</v>
      </c>
      <c r="C43" s="7">
        <f>ROUNDUP(B43*$C$41,2)</f>
        <v>17926.69</v>
      </c>
      <c r="D43" s="7">
        <f>+D42</f>
        <v>-37853.08565714137</v>
      </c>
      <c r="E43" s="7">
        <f>+D43+C43</f>
        <v>-19926.39565714137</v>
      </c>
      <c r="F43" s="7">
        <f>+B43+E43</f>
        <v>83100.51868571725</v>
      </c>
      <c r="G43" s="7">
        <f>+C43*$G$41</f>
        <v>5557.273899999999</v>
      </c>
      <c r="H43" s="12">
        <f>POWER((1+$F$27),-2)</f>
        <v>0.6944444444444444</v>
      </c>
      <c r="I43" s="17">
        <f>+G43*H43</f>
        <v>3859.2179861111103</v>
      </c>
    </row>
    <row r="44" spans="1:9" ht="15">
      <c r="A44">
        <v>3</v>
      </c>
      <c r="B44" s="7">
        <f>+F43</f>
        <v>83100.51868571725</v>
      </c>
      <c r="C44" s="7">
        <f>ROUNDUP(B44*$C$41,2)</f>
        <v>14459.5</v>
      </c>
      <c r="D44" s="7">
        <f>+D43</f>
        <v>-37853.08565714137</v>
      </c>
      <c r="E44" s="7">
        <f>+D44+C44</f>
        <v>-23393.585657141368</v>
      </c>
      <c r="F44" s="7">
        <f>+B44+E44</f>
        <v>59706.933028575884</v>
      </c>
      <c r="G44" s="7">
        <f>+C44*$G$41</f>
        <v>4482.445</v>
      </c>
      <c r="H44" s="12">
        <f>POWER((1+$F$27),-3)</f>
        <v>0.5787037037037037</v>
      </c>
      <c r="I44" s="17">
        <f>+G44*H44</f>
        <v>2594.0075231481483</v>
      </c>
    </row>
    <row r="45" spans="1:9" ht="15">
      <c r="A45">
        <v>4</v>
      </c>
      <c r="B45" s="7">
        <f>+F44</f>
        <v>59706.933028575884</v>
      </c>
      <c r="C45" s="7">
        <f>ROUNDUP(B45*$C$41,2)</f>
        <v>10389.01</v>
      </c>
      <c r="D45" s="7">
        <f>+D44</f>
        <v>-37853.08565714137</v>
      </c>
      <c r="E45" s="7">
        <f>+D45+C45</f>
        <v>-27464.075657141366</v>
      </c>
      <c r="F45" s="7">
        <f>+B45+E45</f>
        <v>32242.85737143452</v>
      </c>
      <c r="G45" s="7">
        <f>+C45*$G$41</f>
        <v>3220.5931</v>
      </c>
      <c r="H45" s="12">
        <f>POWER((1+$F$27),-4)</f>
        <v>0.4822530864197531</v>
      </c>
      <c r="I45" s="17">
        <f>+G45*H45</f>
        <v>1553.1409625771605</v>
      </c>
    </row>
    <row r="46" spans="1:9" ht="15">
      <c r="A46">
        <v>5</v>
      </c>
      <c r="B46" s="7">
        <f>+F45</f>
        <v>32242.85737143452</v>
      </c>
      <c r="C46" s="7">
        <f>ROUNDUP(B46*$C$41,2)</f>
        <v>5610.26</v>
      </c>
      <c r="D46" s="7">
        <f>+D45</f>
        <v>-37853.08565714137</v>
      </c>
      <c r="E46" s="7">
        <f>+D46+C46</f>
        <v>-32242.825657141366</v>
      </c>
      <c r="F46" s="7">
        <f>+B46+E46</f>
        <v>0.031714293152617756</v>
      </c>
      <c r="G46" s="7">
        <f>+C46*$G$41</f>
        <v>1739.1806000000001</v>
      </c>
      <c r="H46" s="12">
        <f>POWER((1+$F$27),-5)</f>
        <v>0.4018775720164609</v>
      </c>
      <c r="I46" s="17">
        <f>+G46*H46</f>
        <v>698.9376768261318</v>
      </c>
    </row>
    <row r="47" spans="1:9" ht="15">
      <c r="A47" t="s">
        <v>14</v>
      </c>
      <c r="B47" s="7">
        <f>SUM(B42:B46)</f>
        <v>398077.22342858627</v>
      </c>
      <c r="C47" s="7">
        <f>SUM(C42:C46)</f>
        <v>69265.46</v>
      </c>
      <c r="D47" s="7">
        <f>SUM(D42:D46)</f>
        <v>-189265.42828570685</v>
      </c>
      <c r="E47" s="7">
        <f>SUM(E42:E46)</f>
        <v>-119999.96828570683</v>
      </c>
      <c r="F47" s="7"/>
      <c r="G47" s="7">
        <f>SUM(G42:G46)</f>
        <v>21472.2926</v>
      </c>
      <c r="H47" s="7"/>
      <c r="I47" s="7">
        <f>SUM(I42:I46)</f>
        <v>14099.304148662552</v>
      </c>
    </row>
    <row r="48" ht="15">
      <c r="I48" s="19"/>
    </row>
    <row r="49" ht="15">
      <c r="A49" t="s">
        <v>32</v>
      </c>
    </row>
    <row r="50" spans="1:4" ht="15">
      <c r="A50" t="s">
        <v>33</v>
      </c>
      <c r="D50" s="7">
        <f>+B42</f>
        <v>120000</v>
      </c>
    </row>
    <row r="51" spans="1:3" ht="15">
      <c r="A51" t="s">
        <v>34</v>
      </c>
      <c r="C51" s="7">
        <f>+H33</f>
        <v>22250.154320987655</v>
      </c>
    </row>
    <row r="52" spans="1:4" ht="15.75" thickBot="1">
      <c r="A52" t="s">
        <v>35</v>
      </c>
      <c r="C52" s="20">
        <f>+I47</f>
        <v>14099.304148662552</v>
      </c>
      <c r="D52" s="20">
        <f>SUM(C51:C52)</f>
        <v>36349.458469650206</v>
      </c>
    </row>
    <row r="53" spans="1:4" ht="15.75">
      <c r="A53" s="21" t="s">
        <v>36</v>
      </c>
      <c r="B53" s="21"/>
      <c r="C53" s="21"/>
      <c r="D53" s="18">
        <f>+D50-D52</f>
        <v>83650.54153034979</v>
      </c>
    </row>
    <row r="54" ht="15">
      <c r="D54" t="s">
        <v>37</v>
      </c>
    </row>
    <row r="55" ht="18.75">
      <c r="A55" s="22" t="s">
        <v>38</v>
      </c>
    </row>
    <row r="57" spans="1:4" ht="15">
      <c r="A57" t="s">
        <v>39</v>
      </c>
      <c r="C57" s="31" t="s">
        <v>40</v>
      </c>
      <c r="D57" s="31" t="s">
        <v>41</v>
      </c>
    </row>
    <row r="58" spans="3:4" ht="15">
      <c r="C58" s="31" t="s">
        <v>42</v>
      </c>
      <c r="D58" s="31" t="s">
        <v>57</v>
      </c>
    </row>
    <row r="60" spans="1:4" ht="21">
      <c r="A60" s="1" t="s">
        <v>43</v>
      </c>
      <c r="B60" s="1"/>
      <c r="C60" s="23">
        <f>+B19</f>
        <v>250000</v>
      </c>
      <c r="D60" s="23">
        <f>+F18</f>
        <v>72320.14347575081</v>
      </c>
    </row>
    <row r="61" spans="1:4" ht="21">
      <c r="A61" s="1" t="s">
        <v>44</v>
      </c>
      <c r="B61" s="1"/>
      <c r="C61" s="23">
        <f>-E28</f>
        <v>120000</v>
      </c>
      <c r="D61" s="23">
        <f>+G34*-1</f>
        <v>97749.84567901233</v>
      </c>
    </row>
    <row r="62" spans="1:4" ht="21">
      <c r="A62" s="1" t="s">
        <v>45</v>
      </c>
      <c r="B62" s="1"/>
      <c r="C62" s="23">
        <f>-D47</f>
        <v>189265.42828570685</v>
      </c>
      <c r="D62" s="23">
        <f>+D53</f>
        <v>83650.54153034979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80" zoomScaleNormal="80" zoomScalePageLayoutView="0" workbookViewId="0" topLeftCell="A49">
      <selection activeCell="F63" sqref="F63"/>
    </sheetView>
  </sheetViews>
  <sheetFormatPr defaultColWidth="11.421875" defaultRowHeight="15"/>
  <cols>
    <col min="2" max="3" width="14.7109375" style="0" customWidth="1"/>
    <col min="4" max="4" width="23.57421875" style="0" customWidth="1"/>
    <col min="5" max="7" width="14.7109375" style="0" customWidth="1"/>
    <col min="8" max="8" width="17.140625" style="0" bestFit="1" customWidth="1"/>
    <col min="9" max="9" width="14.7109375" style="0" customWidth="1"/>
  </cols>
  <sheetData>
    <row r="1" ht="15">
      <c r="A1" t="s">
        <v>0</v>
      </c>
    </row>
    <row r="2" ht="15">
      <c r="A2" t="s">
        <v>1</v>
      </c>
    </row>
    <row r="3" ht="21">
      <c r="E3" s="1"/>
    </row>
    <row r="4" spans="1:3" ht="18.75">
      <c r="A4" t="s">
        <v>2</v>
      </c>
      <c r="B4" s="2" t="s">
        <v>3</v>
      </c>
      <c r="C4" s="3"/>
    </row>
    <row r="5" spans="1:9" ht="1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/>
      <c r="H5" s="4"/>
      <c r="I5" s="4"/>
    </row>
    <row r="6" spans="1:9" ht="15">
      <c r="A6" s="4"/>
      <c r="B6" s="4"/>
      <c r="C6" s="4" t="s">
        <v>10</v>
      </c>
      <c r="D6" s="4" t="s">
        <v>11</v>
      </c>
      <c r="E6" s="4" t="s">
        <v>12</v>
      </c>
      <c r="F6" s="4" t="s">
        <v>13</v>
      </c>
      <c r="G6" s="4"/>
      <c r="H6" s="4"/>
      <c r="I6" s="4"/>
    </row>
    <row r="7" spans="3:5" ht="15">
      <c r="C7" s="5">
        <v>0.31</v>
      </c>
      <c r="E7" s="6">
        <v>0.2</v>
      </c>
    </row>
    <row r="8" spans="1:6" ht="15">
      <c r="A8">
        <v>1</v>
      </c>
      <c r="B8" s="7">
        <v>30000</v>
      </c>
      <c r="C8" s="7">
        <f>+B8*$C$7</f>
        <v>9300</v>
      </c>
      <c r="D8" s="7">
        <f>+B8-C8</f>
        <v>20700</v>
      </c>
      <c r="E8" s="8">
        <f>POWER((1+$E$7),-1)</f>
        <v>0.8333333333333334</v>
      </c>
      <c r="F8" s="7">
        <f>+D8*E8</f>
        <v>17250</v>
      </c>
    </row>
    <row r="9" spans="1:6" ht="15">
      <c r="A9">
        <v>2</v>
      </c>
      <c r="B9" s="7">
        <f>+B8</f>
        <v>30000</v>
      </c>
      <c r="C9" s="7">
        <f aca="true" t="shared" si="0" ref="C9:C17">+B9*$C$7</f>
        <v>9300</v>
      </c>
      <c r="D9" s="7">
        <f aca="true" t="shared" si="1" ref="D9:D17">+B9-C9</f>
        <v>20700</v>
      </c>
      <c r="E9" s="8">
        <f>POWER((1+$E$7),-2)</f>
        <v>0.6944444444444444</v>
      </c>
      <c r="F9" s="7">
        <f aca="true" t="shared" si="2" ref="F9:F17">+D9*E9</f>
        <v>14375</v>
      </c>
    </row>
    <row r="10" spans="1:6" ht="15">
      <c r="A10">
        <v>3</v>
      </c>
      <c r="B10" s="7">
        <f>+B9</f>
        <v>30000</v>
      </c>
      <c r="C10" s="7">
        <f t="shared" si="0"/>
        <v>9300</v>
      </c>
      <c r="D10" s="7">
        <f t="shared" si="1"/>
        <v>20700</v>
      </c>
      <c r="E10" s="8">
        <f>POWER((1+$E$7),-3)</f>
        <v>0.5787037037037037</v>
      </c>
      <c r="F10" s="7">
        <f t="shared" si="2"/>
        <v>11979.166666666668</v>
      </c>
    </row>
    <row r="11" spans="1:6" ht="15">
      <c r="A11">
        <v>4</v>
      </c>
      <c r="B11" s="7">
        <f aca="true" t="shared" si="3" ref="B11:B17">+B10</f>
        <v>30000</v>
      </c>
      <c r="C11" s="7">
        <f t="shared" si="0"/>
        <v>9300</v>
      </c>
      <c r="D11" s="7">
        <f t="shared" si="1"/>
        <v>20700</v>
      </c>
      <c r="E11" s="8">
        <f>POWER((1+$E$7),-4)</f>
        <v>0.4822530864197531</v>
      </c>
      <c r="F11" s="7">
        <f t="shared" si="2"/>
        <v>9982.638888888889</v>
      </c>
    </row>
    <row r="12" spans="1:6" ht="15">
      <c r="A12">
        <v>5</v>
      </c>
      <c r="B12" s="7">
        <f t="shared" si="3"/>
        <v>30000</v>
      </c>
      <c r="C12" s="7">
        <f t="shared" si="0"/>
        <v>9300</v>
      </c>
      <c r="D12" s="7">
        <f t="shared" si="1"/>
        <v>20700</v>
      </c>
      <c r="E12" s="8">
        <f>POWER((1+$E$7),-5)</f>
        <v>0.4018775720164609</v>
      </c>
      <c r="F12" s="7">
        <f t="shared" si="2"/>
        <v>8318.86574074074</v>
      </c>
    </row>
    <row r="13" spans="1:6" ht="15">
      <c r="A13">
        <v>6</v>
      </c>
      <c r="B13" s="7">
        <f t="shared" si="3"/>
        <v>30000</v>
      </c>
      <c r="C13" s="7">
        <f t="shared" si="0"/>
        <v>9300</v>
      </c>
      <c r="D13" s="7">
        <f t="shared" si="1"/>
        <v>20700</v>
      </c>
      <c r="E13" s="8">
        <f>POWER((1+$E$7),-6)</f>
        <v>0.3348979766803841</v>
      </c>
      <c r="F13" s="7">
        <f t="shared" si="2"/>
        <v>6932.388117283951</v>
      </c>
    </row>
    <row r="14" spans="1:6" ht="15">
      <c r="A14">
        <v>7</v>
      </c>
      <c r="B14" s="7">
        <f t="shared" si="3"/>
        <v>30000</v>
      </c>
      <c r="C14" s="7">
        <f t="shared" si="0"/>
        <v>9300</v>
      </c>
      <c r="D14" s="7">
        <f t="shared" si="1"/>
        <v>20700</v>
      </c>
      <c r="E14" s="8">
        <f>POWER((1+$E$7),-7)</f>
        <v>0.2790816472336534</v>
      </c>
      <c r="F14" s="7">
        <f t="shared" si="2"/>
        <v>5776.990097736626</v>
      </c>
    </row>
    <row r="15" spans="1:6" ht="15">
      <c r="A15">
        <v>8</v>
      </c>
      <c r="B15" s="7">
        <f t="shared" si="3"/>
        <v>30000</v>
      </c>
      <c r="C15" s="7">
        <f t="shared" si="0"/>
        <v>9300</v>
      </c>
      <c r="D15" s="7">
        <f t="shared" si="1"/>
        <v>20700</v>
      </c>
      <c r="E15" s="8">
        <f>POWER((1+$E$7),-8)</f>
        <v>0.23256803936137788</v>
      </c>
      <c r="F15" s="7">
        <f t="shared" si="2"/>
        <v>4814.158414780522</v>
      </c>
    </row>
    <row r="16" spans="1:6" ht="15">
      <c r="A16">
        <v>9</v>
      </c>
      <c r="B16" s="7">
        <f>+B15</f>
        <v>30000</v>
      </c>
      <c r="C16" s="7">
        <f t="shared" si="0"/>
        <v>9300</v>
      </c>
      <c r="D16" s="7">
        <f t="shared" si="1"/>
        <v>20700</v>
      </c>
      <c r="E16" s="8">
        <f>POWER((1+$E$7),-9)</f>
        <v>0.1938066994678149</v>
      </c>
      <c r="F16" s="7">
        <f t="shared" si="2"/>
        <v>4011.7986789837682</v>
      </c>
    </row>
    <row r="17" spans="1:6" ht="15">
      <c r="A17">
        <v>10</v>
      </c>
      <c r="B17" s="7">
        <f t="shared" si="3"/>
        <v>30000</v>
      </c>
      <c r="C17" s="7">
        <f t="shared" si="0"/>
        <v>9300</v>
      </c>
      <c r="D17" s="7">
        <f t="shared" si="1"/>
        <v>20700</v>
      </c>
      <c r="E17" s="8">
        <f>POWER((1+$E$7),-10)</f>
        <v>0.16150558288984573</v>
      </c>
      <c r="F17" s="7">
        <f t="shared" si="2"/>
        <v>3343.1655658198065</v>
      </c>
    </row>
    <row r="18" spans="2:6" ht="15">
      <c r="B18" s="7"/>
      <c r="C18" s="7"/>
      <c r="D18" s="7"/>
      <c r="E18" s="8"/>
      <c r="F18" s="7"/>
    </row>
    <row r="19" spans="1:6" ht="15.75">
      <c r="A19" t="s">
        <v>14</v>
      </c>
      <c r="B19" s="9">
        <f>SUM(B8:B18)</f>
        <v>300000</v>
      </c>
      <c r="C19" s="7">
        <f>SUM(C8:C18)</f>
        <v>93000</v>
      </c>
      <c r="D19" s="7">
        <f>SUM(D8:D18)</f>
        <v>207000</v>
      </c>
      <c r="E19" s="8">
        <f>SUM(E8:E18)</f>
        <v>4.192472085550772</v>
      </c>
      <c r="F19" s="7">
        <f>SUM(F8:F18)</f>
        <v>86784.17217090097</v>
      </c>
    </row>
    <row r="20" spans="2:6" ht="15">
      <c r="B20" s="7"/>
      <c r="C20" s="7"/>
      <c r="D20" s="7"/>
      <c r="F20" s="7"/>
    </row>
    <row r="21" ht="15">
      <c r="A21" t="s">
        <v>0</v>
      </c>
    </row>
    <row r="22" ht="15">
      <c r="A22" t="s">
        <v>1</v>
      </c>
    </row>
    <row r="24" spans="1:3" ht="18.75">
      <c r="A24" t="s">
        <v>2</v>
      </c>
      <c r="B24" s="10" t="s">
        <v>15</v>
      </c>
      <c r="C24" s="11"/>
    </row>
    <row r="25" spans="1:8" ht="15">
      <c r="A25" s="4" t="s">
        <v>4</v>
      </c>
      <c r="B25" s="4" t="s">
        <v>16</v>
      </c>
      <c r="C25" s="4" t="s">
        <v>17</v>
      </c>
      <c r="D25" s="4" t="s">
        <v>18</v>
      </c>
      <c r="E25" s="4" t="s">
        <v>7</v>
      </c>
      <c r="F25" s="4" t="s">
        <v>8</v>
      </c>
      <c r="G25" s="4" t="s">
        <v>9</v>
      </c>
      <c r="H25" s="4"/>
    </row>
    <row r="26" spans="1:8" ht="15">
      <c r="A26" s="4"/>
      <c r="B26" s="4" t="s">
        <v>19</v>
      </c>
      <c r="C26" s="4"/>
      <c r="D26" s="4" t="s">
        <v>17</v>
      </c>
      <c r="E26" s="4" t="s">
        <v>20</v>
      </c>
      <c r="F26" s="4" t="s">
        <v>12</v>
      </c>
      <c r="G26" s="4" t="s">
        <v>13</v>
      </c>
      <c r="H26" s="4"/>
    </row>
    <row r="27" spans="2:6" ht="15">
      <c r="B27">
        <v>150000</v>
      </c>
      <c r="C27" s="5">
        <v>0.2</v>
      </c>
      <c r="D27" s="6">
        <f>+C7</f>
        <v>0.31</v>
      </c>
      <c r="F27">
        <v>0.2</v>
      </c>
    </row>
    <row r="28" spans="1:7" ht="15">
      <c r="A28">
        <v>0</v>
      </c>
      <c r="B28" s="7">
        <v>135000</v>
      </c>
      <c r="C28" s="7"/>
      <c r="D28" s="7">
        <v>15000</v>
      </c>
      <c r="E28" s="7">
        <f>-B27+D28</f>
        <v>-135000</v>
      </c>
      <c r="G28">
        <f>+E28</f>
        <v>-135000</v>
      </c>
    </row>
    <row r="29" spans="1:8" ht="15">
      <c r="A29">
        <v>1</v>
      </c>
      <c r="B29" s="7">
        <v>0</v>
      </c>
      <c r="C29" s="7">
        <f>+B28*$C$27</f>
        <v>27000</v>
      </c>
      <c r="D29" s="7">
        <f>+C29*$D$27</f>
        <v>8370</v>
      </c>
      <c r="E29" s="7">
        <f>+D29</f>
        <v>8370</v>
      </c>
      <c r="F29" s="12">
        <f>POWER((1+$F$27),-1)</f>
        <v>0.8333333333333334</v>
      </c>
      <c r="G29" s="13">
        <f>+E29*F29</f>
        <v>6975</v>
      </c>
      <c r="H29" s="7"/>
    </row>
    <row r="30" spans="1:8" ht="15">
      <c r="A30">
        <v>2</v>
      </c>
      <c r="B30" s="7">
        <v>0</v>
      </c>
      <c r="C30" s="7">
        <f>+C29</f>
        <v>27000</v>
      </c>
      <c r="D30" s="7">
        <f>+C30*$D$27</f>
        <v>8370</v>
      </c>
      <c r="E30" s="7">
        <f>+D30</f>
        <v>8370</v>
      </c>
      <c r="F30" s="12">
        <f>POWER((1+$F$27),-2)</f>
        <v>0.6944444444444444</v>
      </c>
      <c r="G30" s="13">
        <f>+E30*F30</f>
        <v>5812.5</v>
      </c>
      <c r="H30" s="7"/>
    </row>
    <row r="31" spans="1:8" ht="15">
      <c r="A31">
        <v>3</v>
      </c>
      <c r="B31" s="7">
        <v>0</v>
      </c>
      <c r="C31" s="7">
        <f>+C30</f>
        <v>27000</v>
      </c>
      <c r="D31" s="7">
        <f>+C31*$D$27</f>
        <v>8370</v>
      </c>
      <c r="E31" s="7">
        <f>+D31</f>
        <v>8370</v>
      </c>
      <c r="F31" s="12">
        <f>POWER((1+$F$27),-3)</f>
        <v>0.5787037037037037</v>
      </c>
      <c r="G31" s="13">
        <f>+E31*F31</f>
        <v>4843.75</v>
      </c>
      <c r="H31" s="7"/>
    </row>
    <row r="32" spans="1:8" ht="15">
      <c r="A32">
        <v>4</v>
      </c>
      <c r="B32" s="7">
        <f>+B31</f>
        <v>0</v>
      </c>
      <c r="C32" s="7">
        <f>+C31</f>
        <v>27000</v>
      </c>
      <c r="D32" s="7">
        <f>+C32*$D$27</f>
        <v>8370</v>
      </c>
      <c r="E32" s="7">
        <f>+D32</f>
        <v>8370</v>
      </c>
      <c r="F32" s="12">
        <f>POWER((1+$F$27),-4)</f>
        <v>0.4822530864197531</v>
      </c>
      <c r="G32" s="13">
        <f>+E32*F32</f>
        <v>4036.4583333333335</v>
      </c>
      <c r="H32" s="7"/>
    </row>
    <row r="33" spans="1:8" ht="15">
      <c r="A33">
        <v>5</v>
      </c>
      <c r="B33" s="7">
        <f>+B32</f>
        <v>0</v>
      </c>
      <c r="C33" s="7">
        <f>+C32</f>
        <v>27000</v>
      </c>
      <c r="D33" s="7">
        <f>+C33*$D$27</f>
        <v>8370</v>
      </c>
      <c r="E33" s="7">
        <f>+D33</f>
        <v>8370</v>
      </c>
      <c r="F33" s="12">
        <f>POWER((1+$F$27),-5)</f>
        <v>0.4018775720164609</v>
      </c>
      <c r="G33" s="13">
        <f>+E33*F33</f>
        <v>3363.715277777778</v>
      </c>
      <c r="H33" s="7"/>
    </row>
    <row r="34" spans="1:8" ht="15.75">
      <c r="A34" t="s">
        <v>14</v>
      </c>
      <c r="B34" s="7">
        <f>SUM(B29:B33)</f>
        <v>0</v>
      </c>
      <c r="C34" s="7">
        <f>SUM(C29:C33)</f>
        <v>135000</v>
      </c>
      <c r="D34" s="7">
        <f>SUM(D29:D33)</f>
        <v>41850</v>
      </c>
      <c r="E34" s="7"/>
      <c r="F34" s="7"/>
      <c r="G34" s="14">
        <f>SUM(G28:G33)</f>
        <v>-109968.57638888889</v>
      </c>
      <c r="H34" s="7">
        <f>SUM(G29:G33)</f>
        <v>25031.42361111111</v>
      </c>
    </row>
    <row r="36" ht="15">
      <c r="A36" t="s">
        <v>0</v>
      </c>
    </row>
    <row r="37" spans="1:7" ht="15">
      <c r="A37" t="s">
        <v>1</v>
      </c>
      <c r="E37" t="s">
        <v>30</v>
      </c>
      <c r="F37" s="7">
        <v>135000</v>
      </c>
      <c r="G37" s="24">
        <f>PMT(F38,F39,F37)</f>
        <v>-43561.77757365615</v>
      </c>
    </row>
    <row r="38" spans="5:6" ht="15">
      <c r="E38" s="24" t="s">
        <v>46</v>
      </c>
      <c r="F38" s="27">
        <f>+C42</f>
        <v>0.184</v>
      </c>
    </row>
    <row r="39" spans="1:6" ht="18.75">
      <c r="A39" t="s">
        <v>2</v>
      </c>
      <c r="B39" s="15" t="s">
        <v>21</v>
      </c>
      <c r="C39" s="16"/>
      <c r="E39" t="s">
        <v>47</v>
      </c>
      <c r="F39">
        <v>5</v>
      </c>
    </row>
    <row r="40" spans="1:9" ht="15">
      <c r="A40" s="4" t="s">
        <v>4</v>
      </c>
      <c r="B40" s="4" t="s">
        <v>22</v>
      </c>
      <c r="C40" s="4" t="s">
        <v>23</v>
      </c>
      <c r="D40" s="4" t="s">
        <v>24</v>
      </c>
      <c r="E40" s="4" t="s">
        <v>25</v>
      </c>
      <c r="F40" s="4" t="s">
        <v>26</v>
      </c>
      <c r="G40" s="4" t="s">
        <v>27</v>
      </c>
      <c r="H40" s="4" t="s">
        <v>8</v>
      </c>
      <c r="I40" s="4" t="s">
        <v>9</v>
      </c>
    </row>
    <row r="41" spans="1:9" ht="15">
      <c r="A41" s="4"/>
      <c r="B41" s="4" t="s">
        <v>28</v>
      </c>
      <c r="C41" s="4"/>
      <c r="D41" s="4" t="s">
        <v>29</v>
      </c>
      <c r="E41" s="4" t="s">
        <v>30</v>
      </c>
      <c r="F41" s="4" t="s">
        <v>31</v>
      </c>
      <c r="G41" s="4" t="s">
        <v>10</v>
      </c>
      <c r="H41" s="4" t="s">
        <v>12</v>
      </c>
      <c r="I41" s="4" t="s">
        <v>13</v>
      </c>
    </row>
    <row r="42" spans="3:8" ht="15">
      <c r="C42" s="5">
        <v>0.184</v>
      </c>
      <c r="D42" s="6"/>
      <c r="G42" s="5">
        <f>+C7</f>
        <v>0.31</v>
      </c>
      <c r="H42">
        <v>0.2</v>
      </c>
    </row>
    <row r="43" spans="1:9" ht="15">
      <c r="A43">
        <v>1</v>
      </c>
      <c r="B43" s="7">
        <f>+B28</f>
        <v>135000</v>
      </c>
      <c r="C43" s="7">
        <f>ROUNDUP(B43*$C$42,2)</f>
        <v>24840</v>
      </c>
      <c r="D43" s="7">
        <f>+G37</f>
        <v>-43561.77757365615</v>
      </c>
      <c r="E43" s="7">
        <f>+D43+C43</f>
        <v>-18721.777573656153</v>
      </c>
      <c r="F43" s="7">
        <f>+B43+E43</f>
        <v>116278.22242634385</v>
      </c>
      <c r="G43" s="7">
        <f>+C43*$G$42</f>
        <v>7700.4</v>
      </c>
      <c r="H43" s="12">
        <f>POWER((1+$F$27),-1)</f>
        <v>0.8333333333333334</v>
      </c>
      <c r="I43" s="17">
        <f>+G43*H43</f>
        <v>6417</v>
      </c>
    </row>
    <row r="44" spans="1:9" ht="15">
      <c r="A44">
        <v>2</v>
      </c>
      <c r="B44" s="7">
        <f>+F43</f>
        <v>116278.22242634385</v>
      </c>
      <c r="C44" s="7">
        <f>ROUNDUP(B44*$C$42,2)</f>
        <v>21395.199999999997</v>
      </c>
      <c r="D44" s="7">
        <f>+D43</f>
        <v>-43561.77757365615</v>
      </c>
      <c r="E44" s="7">
        <f>+D44+C44</f>
        <v>-22166.577573656155</v>
      </c>
      <c r="F44" s="7">
        <f>+B44+E44</f>
        <v>94111.64485268769</v>
      </c>
      <c r="G44" s="7">
        <f>+C44*$G$42</f>
        <v>6632.511999999999</v>
      </c>
      <c r="H44" s="12">
        <f>POWER((1+$F$27),-2)</f>
        <v>0.6944444444444444</v>
      </c>
      <c r="I44" s="17">
        <f>+G44*H44</f>
        <v>4605.91111111111</v>
      </c>
    </row>
    <row r="45" spans="1:9" ht="15">
      <c r="A45">
        <v>3</v>
      </c>
      <c r="B45" s="7">
        <f>+F44</f>
        <v>94111.64485268769</v>
      </c>
      <c r="C45" s="7">
        <f>ROUNDUP(B45*$C$42,2)</f>
        <v>17316.55</v>
      </c>
      <c r="D45" s="7">
        <f>+D44</f>
        <v>-43561.77757365615</v>
      </c>
      <c r="E45" s="7">
        <f>+D45+C45</f>
        <v>-26245.227573656153</v>
      </c>
      <c r="F45" s="7">
        <f>+B45+E45</f>
        <v>67866.41727903154</v>
      </c>
      <c r="G45" s="7">
        <f>+C45*$G$42</f>
        <v>5368.130499999999</v>
      </c>
      <c r="H45" s="12">
        <f>POWER((1+$F$27),-3)</f>
        <v>0.5787037037037037</v>
      </c>
      <c r="I45" s="17">
        <f>+G45*H45</f>
        <v>3106.5570023148143</v>
      </c>
    </row>
    <row r="46" spans="1:9" ht="15">
      <c r="A46">
        <v>4</v>
      </c>
      <c r="B46" s="7">
        <f>+F45</f>
        <v>67866.41727903154</v>
      </c>
      <c r="C46" s="7">
        <f>ROUNDUP(B46*$C$42,2)</f>
        <v>12487.43</v>
      </c>
      <c r="D46" s="7">
        <f>+D45</f>
        <v>-43561.77757365615</v>
      </c>
      <c r="E46" s="7">
        <f>+D46+C46</f>
        <v>-31074.347573656152</v>
      </c>
      <c r="F46" s="7">
        <f>+B46+E46</f>
        <v>36792.06970537538</v>
      </c>
      <c r="G46" s="7">
        <f>+C46*$G$42</f>
        <v>3871.1033</v>
      </c>
      <c r="H46" s="12">
        <f>POWER((1+$F$27),-4)</f>
        <v>0.4822530864197531</v>
      </c>
      <c r="I46" s="17">
        <f>+G46*H46</f>
        <v>1866.8515142746917</v>
      </c>
    </row>
    <row r="47" spans="1:9" ht="15">
      <c r="A47">
        <v>5</v>
      </c>
      <c r="B47" s="7">
        <f>+F46</f>
        <v>36792.06970537538</v>
      </c>
      <c r="C47" s="7">
        <f>ROUNDUP(B47*$C$42,2)</f>
        <v>6769.75</v>
      </c>
      <c r="D47" s="7">
        <f>+D46</f>
        <v>-43561.77757365615</v>
      </c>
      <c r="E47" s="7">
        <f>+D47+C47</f>
        <v>-36792.02757365615</v>
      </c>
      <c r="F47" s="7">
        <f>+B47+E47</f>
        <v>0.04213171923038317</v>
      </c>
      <c r="G47" s="7">
        <f>+C47*$G$42</f>
        <v>2098.6225</v>
      </c>
      <c r="H47" s="12">
        <f>POWER((1+$F$27),-5)</f>
        <v>0.4018775720164609</v>
      </c>
      <c r="I47" s="17">
        <f>+G47*H47</f>
        <v>843.3893148791152</v>
      </c>
    </row>
    <row r="48" spans="1:9" ht="15.75">
      <c r="A48" t="s">
        <v>14</v>
      </c>
      <c r="B48" s="7">
        <f>SUM(B43:B47)</f>
        <v>450048.3542634385</v>
      </c>
      <c r="C48" s="7">
        <f>SUM(C43:C47)</f>
        <v>82808.93</v>
      </c>
      <c r="D48" s="7">
        <f>SUM(D43:D47)</f>
        <v>-217808.88786828076</v>
      </c>
      <c r="E48" s="7">
        <f>SUM(E43:E47)</f>
        <v>-134999.95786828076</v>
      </c>
      <c r="F48" s="7"/>
      <c r="G48" s="7">
        <f>SUM(G43:G47)</f>
        <v>25670.768299999996</v>
      </c>
      <c r="H48" s="7"/>
      <c r="I48" s="18">
        <f>SUM(I43:I47)</f>
        <v>16839.708942579728</v>
      </c>
    </row>
    <row r="49" ht="15">
      <c r="I49" s="19"/>
    </row>
    <row r="50" ht="15">
      <c r="A50" t="s">
        <v>32</v>
      </c>
    </row>
    <row r="51" spans="1:4" ht="15">
      <c r="A51" t="s">
        <v>33</v>
      </c>
      <c r="D51" s="7">
        <f>+B28</f>
        <v>135000</v>
      </c>
    </row>
    <row r="52" spans="1:3" ht="15">
      <c r="A52" t="s">
        <v>34</v>
      </c>
      <c r="C52" s="7">
        <f>+H34</f>
        <v>25031.42361111111</v>
      </c>
    </row>
    <row r="53" spans="1:4" ht="15.75" thickBot="1">
      <c r="A53" t="s">
        <v>35</v>
      </c>
      <c r="C53" s="20">
        <f>+I48</f>
        <v>16839.708942579728</v>
      </c>
      <c r="D53" s="20">
        <f>SUM(C52:C53)</f>
        <v>41871.13255369084</v>
      </c>
    </row>
    <row r="54" spans="1:4" ht="15.75">
      <c r="A54" s="21" t="s">
        <v>36</v>
      </c>
      <c r="B54" s="21"/>
      <c r="C54" s="21"/>
      <c r="D54" s="18">
        <f>+D51-D53</f>
        <v>93128.86744630916</v>
      </c>
    </row>
    <row r="55" ht="15">
      <c r="D55" t="s">
        <v>37</v>
      </c>
    </row>
    <row r="56" ht="18.75">
      <c r="A56" s="22" t="s">
        <v>38</v>
      </c>
    </row>
    <row r="58" spans="1:4" ht="15">
      <c r="A58" t="s">
        <v>39</v>
      </c>
      <c r="C58" s="31" t="s">
        <v>40</v>
      </c>
      <c r="D58" s="31" t="s">
        <v>41</v>
      </c>
    </row>
    <row r="59" spans="3:4" ht="15">
      <c r="C59" s="31" t="s">
        <v>42</v>
      </c>
      <c r="D59" s="31" t="s">
        <v>57</v>
      </c>
    </row>
    <row r="61" spans="1:4" ht="21">
      <c r="A61" s="1" t="s">
        <v>43</v>
      </c>
      <c r="B61" s="1"/>
      <c r="C61" s="23">
        <f>+B19</f>
        <v>300000</v>
      </c>
      <c r="D61" s="23">
        <f>+F19</f>
        <v>86784.17217090097</v>
      </c>
    </row>
    <row r="62" spans="1:4" ht="21">
      <c r="A62" s="1" t="s">
        <v>44</v>
      </c>
      <c r="B62" s="1"/>
      <c r="C62" s="23">
        <f>-E28</f>
        <v>135000</v>
      </c>
      <c r="D62" s="23">
        <f>+G34*-1</f>
        <v>109968.57638888889</v>
      </c>
    </row>
    <row r="63" spans="1:4" ht="21">
      <c r="A63" s="1" t="s">
        <v>45</v>
      </c>
      <c r="B63" s="1"/>
      <c r="C63" s="23">
        <f>-D48</f>
        <v>217808.88786828076</v>
      </c>
      <c r="D63" s="23">
        <f>+D54</f>
        <v>93128.86744630916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80" zoomScaleNormal="80" zoomScalePageLayoutView="0" workbookViewId="0" topLeftCell="A43">
      <selection activeCell="I8" sqref="I8"/>
    </sheetView>
  </sheetViews>
  <sheetFormatPr defaultColWidth="11.421875" defaultRowHeight="15"/>
  <cols>
    <col min="2" max="9" width="14.7109375" style="0" customWidth="1"/>
  </cols>
  <sheetData>
    <row r="1" ht="15">
      <c r="A1" t="s">
        <v>0</v>
      </c>
    </row>
    <row r="2" ht="15">
      <c r="A2" t="s">
        <v>1</v>
      </c>
    </row>
    <row r="3" ht="21">
      <c r="E3" s="1"/>
    </row>
    <row r="4" spans="1:3" ht="18.75">
      <c r="A4" t="s">
        <v>2</v>
      </c>
      <c r="B4" s="2" t="s">
        <v>3</v>
      </c>
      <c r="C4" s="3"/>
    </row>
    <row r="5" spans="1:9" ht="1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H5" s="4"/>
      <c r="I5" s="4"/>
    </row>
    <row r="6" spans="1:9" ht="15">
      <c r="A6" s="4"/>
      <c r="B6" s="4"/>
      <c r="C6" s="4" t="s">
        <v>10</v>
      </c>
      <c r="D6" s="4" t="s">
        <v>11</v>
      </c>
      <c r="E6" s="4" t="s">
        <v>12</v>
      </c>
      <c r="F6" s="4" t="s">
        <v>13</v>
      </c>
      <c r="H6" s="4"/>
      <c r="I6" s="4"/>
    </row>
    <row r="7" spans="3:5" ht="15">
      <c r="C7" s="5">
        <v>0.31</v>
      </c>
      <c r="E7" s="6">
        <v>0.2</v>
      </c>
    </row>
    <row r="8" spans="1:6" ht="15">
      <c r="A8">
        <v>1</v>
      </c>
      <c r="B8" s="7">
        <v>40000</v>
      </c>
      <c r="C8" s="7">
        <f>+B8*$C$7</f>
        <v>12400</v>
      </c>
      <c r="D8" s="7">
        <f>+B8-C8</f>
        <v>27600</v>
      </c>
      <c r="E8" s="8">
        <f>POWER((1+$E$7),-1)</f>
        <v>0.8333333333333334</v>
      </c>
      <c r="F8" s="7">
        <f>+D8*E8</f>
        <v>23000</v>
      </c>
    </row>
    <row r="9" spans="1:6" ht="15">
      <c r="A9">
        <v>2</v>
      </c>
      <c r="B9" s="7">
        <f>+B8</f>
        <v>40000</v>
      </c>
      <c r="C9" s="7">
        <f aca="true" t="shared" si="0" ref="C9:C17">+B9*$C$7</f>
        <v>12400</v>
      </c>
      <c r="D9" s="7">
        <f aca="true" t="shared" si="1" ref="D9:D17">+B9-C9</f>
        <v>27600</v>
      </c>
      <c r="E9" s="8">
        <f>POWER((1+$E$7),-2)</f>
        <v>0.6944444444444444</v>
      </c>
      <c r="F9" s="7">
        <f aca="true" t="shared" si="2" ref="F9:F17">+D9*E9</f>
        <v>19166.666666666664</v>
      </c>
    </row>
    <row r="10" spans="1:6" ht="15">
      <c r="A10">
        <v>3</v>
      </c>
      <c r="B10" s="7">
        <f>+B9</f>
        <v>40000</v>
      </c>
      <c r="C10" s="7">
        <f t="shared" si="0"/>
        <v>12400</v>
      </c>
      <c r="D10" s="7">
        <f t="shared" si="1"/>
        <v>27600</v>
      </c>
      <c r="E10" s="8">
        <f>POWER((1+$E$7),-3)</f>
        <v>0.5787037037037037</v>
      </c>
      <c r="F10" s="7">
        <f t="shared" si="2"/>
        <v>15972.222222222223</v>
      </c>
    </row>
    <row r="11" spans="1:6" ht="15">
      <c r="A11">
        <v>4</v>
      </c>
      <c r="B11" s="7">
        <f aca="true" t="shared" si="3" ref="B11:B17">+B10</f>
        <v>40000</v>
      </c>
      <c r="C11" s="7">
        <f t="shared" si="0"/>
        <v>12400</v>
      </c>
      <c r="D11" s="7">
        <f t="shared" si="1"/>
        <v>27600</v>
      </c>
      <c r="E11" s="8">
        <f>POWER((1+$E$7),-4)</f>
        <v>0.4822530864197531</v>
      </c>
      <c r="F11" s="7">
        <f t="shared" si="2"/>
        <v>13310.185185185186</v>
      </c>
    </row>
    <row r="12" spans="1:6" ht="15">
      <c r="A12">
        <v>5</v>
      </c>
      <c r="B12" s="7">
        <f t="shared" si="3"/>
        <v>40000</v>
      </c>
      <c r="C12" s="7">
        <f t="shared" si="0"/>
        <v>12400</v>
      </c>
      <c r="D12" s="7">
        <f t="shared" si="1"/>
        <v>27600</v>
      </c>
      <c r="E12" s="8">
        <f>POWER((1+$E$7),-5)</f>
        <v>0.4018775720164609</v>
      </c>
      <c r="F12" s="7">
        <f t="shared" si="2"/>
        <v>11091.82098765432</v>
      </c>
    </row>
    <row r="13" spans="1:6" ht="15">
      <c r="A13">
        <v>6</v>
      </c>
      <c r="B13" s="7">
        <f t="shared" si="3"/>
        <v>40000</v>
      </c>
      <c r="C13" s="7">
        <f t="shared" si="0"/>
        <v>12400</v>
      </c>
      <c r="D13" s="7">
        <f t="shared" si="1"/>
        <v>27600</v>
      </c>
      <c r="E13" s="8">
        <f>POWER((1+$E$7),-6)</f>
        <v>0.3348979766803841</v>
      </c>
      <c r="F13" s="7">
        <f t="shared" si="2"/>
        <v>9243.184156378602</v>
      </c>
    </row>
    <row r="14" spans="1:6" ht="15">
      <c r="A14">
        <v>7</v>
      </c>
      <c r="B14" s="7">
        <f t="shared" si="3"/>
        <v>40000</v>
      </c>
      <c r="C14" s="7">
        <f t="shared" si="0"/>
        <v>12400</v>
      </c>
      <c r="D14" s="7">
        <f t="shared" si="1"/>
        <v>27600</v>
      </c>
      <c r="E14" s="8">
        <f>POWER((1+$E$7),-7)</f>
        <v>0.2790816472336534</v>
      </c>
      <c r="F14" s="7">
        <f t="shared" si="2"/>
        <v>7702.653463648834</v>
      </c>
    </row>
    <row r="15" spans="1:6" ht="15">
      <c r="A15">
        <v>8</v>
      </c>
      <c r="B15" s="7">
        <f t="shared" si="3"/>
        <v>40000</v>
      </c>
      <c r="C15" s="7">
        <f t="shared" si="0"/>
        <v>12400</v>
      </c>
      <c r="D15" s="7">
        <f t="shared" si="1"/>
        <v>27600</v>
      </c>
      <c r="E15" s="8">
        <f>POWER((1+$E$7),-8)</f>
        <v>0.23256803936137788</v>
      </c>
      <c r="F15" s="7">
        <f t="shared" si="2"/>
        <v>6418.877886374029</v>
      </c>
    </row>
    <row r="16" spans="1:6" ht="15">
      <c r="A16">
        <v>9</v>
      </c>
      <c r="B16" s="7">
        <f>+B15</f>
        <v>40000</v>
      </c>
      <c r="C16" s="7">
        <f t="shared" si="0"/>
        <v>12400</v>
      </c>
      <c r="D16" s="7">
        <f t="shared" si="1"/>
        <v>27600</v>
      </c>
      <c r="E16" s="8">
        <f>POWER((1+$E$7),-9)</f>
        <v>0.1938066994678149</v>
      </c>
      <c r="F16" s="7">
        <f t="shared" si="2"/>
        <v>5349.064905311691</v>
      </c>
    </row>
    <row r="17" spans="1:6" ht="15">
      <c r="A17">
        <v>10</v>
      </c>
      <c r="B17" s="7">
        <f t="shared" si="3"/>
        <v>40000</v>
      </c>
      <c r="C17" s="7">
        <f t="shared" si="0"/>
        <v>12400</v>
      </c>
      <c r="D17" s="7">
        <f t="shared" si="1"/>
        <v>27600</v>
      </c>
      <c r="E17" s="8">
        <f>POWER((1+$E$7),-10)</f>
        <v>0.16150558288984573</v>
      </c>
      <c r="F17" s="7">
        <f t="shared" si="2"/>
        <v>4457.554087759742</v>
      </c>
    </row>
    <row r="18" spans="2:6" ht="15">
      <c r="B18" s="7"/>
      <c r="C18" s="7"/>
      <c r="D18" s="7"/>
      <c r="E18" s="8"/>
      <c r="F18" s="7"/>
    </row>
    <row r="19" spans="1:6" ht="15.75">
      <c r="A19" t="s">
        <v>14</v>
      </c>
      <c r="B19" s="9">
        <f>SUM(B8:B18)</f>
        <v>400000</v>
      </c>
      <c r="C19" s="7">
        <f>SUM(C8:C18)</f>
        <v>124000</v>
      </c>
      <c r="D19" s="7">
        <f>SUM(D8:D18)</f>
        <v>276000</v>
      </c>
      <c r="E19" s="8">
        <f>SUM(E8:E18)</f>
        <v>4.192472085550772</v>
      </c>
      <c r="F19" s="7">
        <f>SUM(F8:F18)</f>
        <v>115712.2295612013</v>
      </c>
    </row>
    <row r="20" spans="2:7" ht="15">
      <c r="B20" s="7"/>
      <c r="C20" s="7"/>
      <c r="D20" s="7"/>
      <c r="F20" s="7"/>
      <c r="G20" s="7"/>
    </row>
    <row r="21" ht="15">
      <c r="A21" t="s">
        <v>0</v>
      </c>
    </row>
    <row r="22" ht="15">
      <c r="A22" t="s">
        <v>1</v>
      </c>
    </row>
    <row r="24" spans="1:3" ht="18.75">
      <c r="A24" t="s">
        <v>2</v>
      </c>
      <c r="B24" s="10" t="s">
        <v>15</v>
      </c>
      <c r="C24" s="11"/>
    </row>
    <row r="25" spans="1:8" ht="15">
      <c r="A25" s="4" t="s">
        <v>4</v>
      </c>
      <c r="B25" s="4" t="s">
        <v>16</v>
      </c>
      <c r="C25" s="4" t="s">
        <v>17</v>
      </c>
      <c r="D25" s="4" t="s">
        <v>18</v>
      </c>
      <c r="E25" s="4" t="s">
        <v>7</v>
      </c>
      <c r="F25" s="4" t="s">
        <v>8</v>
      </c>
      <c r="G25" s="4" t="s">
        <v>9</v>
      </c>
      <c r="H25" s="4"/>
    </row>
    <row r="26" spans="1:8" ht="15">
      <c r="A26" s="4"/>
      <c r="B26" s="4" t="s">
        <v>19</v>
      </c>
      <c r="C26" s="4"/>
      <c r="D26" s="4" t="s">
        <v>17</v>
      </c>
      <c r="E26" s="4" t="s">
        <v>20</v>
      </c>
      <c r="F26" s="4" t="s">
        <v>12</v>
      </c>
      <c r="G26" s="4" t="s">
        <v>13</v>
      </c>
      <c r="H26" s="4"/>
    </row>
    <row r="27" spans="3:6" ht="15">
      <c r="C27" s="5">
        <v>0.2</v>
      </c>
      <c r="D27" s="6">
        <f>+C7</f>
        <v>0.31</v>
      </c>
      <c r="F27" s="26">
        <f>+E7</f>
        <v>0.2</v>
      </c>
    </row>
    <row r="28" spans="1:7" ht="15">
      <c r="A28">
        <v>0</v>
      </c>
      <c r="B28" s="7">
        <f>+F37</f>
        <v>170000</v>
      </c>
      <c r="C28" s="7"/>
      <c r="D28" s="7"/>
      <c r="E28" s="7">
        <f>-B28+D28</f>
        <v>-170000</v>
      </c>
      <c r="G28">
        <f>+E28</f>
        <v>-170000</v>
      </c>
    </row>
    <row r="29" spans="1:8" ht="15">
      <c r="A29">
        <v>1</v>
      </c>
      <c r="B29" s="7">
        <v>0</v>
      </c>
      <c r="C29" s="7">
        <f>+B28*$C$27</f>
        <v>34000</v>
      </c>
      <c r="D29" s="7">
        <f>+C29*$D$27</f>
        <v>10540</v>
      </c>
      <c r="E29" s="7">
        <f>+D29</f>
        <v>10540</v>
      </c>
      <c r="F29" s="12">
        <f>POWER((1+$F$27),-1)</f>
        <v>0.8333333333333334</v>
      </c>
      <c r="G29" s="13">
        <f>+E29*F29</f>
        <v>8783.333333333334</v>
      </c>
      <c r="H29" s="7"/>
    </row>
    <row r="30" spans="1:8" ht="15">
      <c r="A30">
        <v>2</v>
      </c>
      <c r="B30" s="7">
        <v>0</v>
      </c>
      <c r="C30" s="7">
        <f>+C29</f>
        <v>34000</v>
      </c>
      <c r="D30" s="7">
        <f>+C30*$D$27</f>
        <v>10540</v>
      </c>
      <c r="E30" s="7">
        <f>+D30</f>
        <v>10540</v>
      </c>
      <c r="F30" s="12">
        <f>POWER((1+$F$27),-2)</f>
        <v>0.6944444444444444</v>
      </c>
      <c r="G30" s="13">
        <f>+E30*F30</f>
        <v>7319.444444444444</v>
      </c>
      <c r="H30" s="7"/>
    </row>
    <row r="31" spans="1:8" ht="15">
      <c r="A31">
        <v>3</v>
      </c>
      <c r="B31" s="7">
        <v>0</v>
      </c>
      <c r="C31" s="7">
        <f>+C30</f>
        <v>34000</v>
      </c>
      <c r="D31" s="7">
        <f>+C31*$D$27</f>
        <v>10540</v>
      </c>
      <c r="E31" s="7">
        <f>+D31</f>
        <v>10540</v>
      </c>
      <c r="F31" s="12">
        <f>POWER((1+$F$27),-3)</f>
        <v>0.5787037037037037</v>
      </c>
      <c r="G31" s="13">
        <f>+E31*F31</f>
        <v>6099.537037037037</v>
      </c>
      <c r="H31" s="7"/>
    </row>
    <row r="32" spans="1:8" ht="15">
      <c r="A32">
        <v>4</v>
      </c>
      <c r="B32" s="7">
        <f>+B31</f>
        <v>0</v>
      </c>
      <c r="C32" s="7">
        <f>+C31</f>
        <v>34000</v>
      </c>
      <c r="D32" s="7">
        <f>+C32*$D$27</f>
        <v>10540</v>
      </c>
      <c r="E32" s="7">
        <f>+D32</f>
        <v>10540</v>
      </c>
      <c r="F32" s="12">
        <f>POWER((1+$F$27),-4)</f>
        <v>0.4822530864197531</v>
      </c>
      <c r="G32" s="13">
        <f>+E32*F32</f>
        <v>5082.947530864198</v>
      </c>
      <c r="H32" s="7"/>
    </row>
    <row r="33" spans="1:8" ht="15">
      <c r="A33">
        <v>5</v>
      </c>
      <c r="B33" s="7">
        <f>+B32</f>
        <v>0</v>
      </c>
      <c r="C33" s="7">
        <f>+C32</f>
        <v>34000</v>
      </c>
      <c r="D33" s="7">
        <f>+C33*$D$27</f>
        <v>10540</v>
      </c>
      <c r="E33" s="7">
        <f>+D33</f>
        <v>10540</v>
      </c>
      <c r="F33" s="12">
        <f>POWER((1+$F$27),-5)</f>
        <v>0.4018775720164609</v>
      </c>
      <c r="G33" s="13">
        <f>+E33*F33</f>
        <v>4235.789609053498</v>
      </c>
      <c r="H33" s="7"/>
    </row>
    <row r="34" spans="1:8" ht="15.75">
      <c r="A34" t="s">
        <v>14</v>
      </c>
      <c r="B34" s="7">
        <f>SUM(B29:B33)</f>
        <v>0</v>
      </c>
      <c r="C34" s="7">
        <f>SUM(C29:C33)</f>
        <v>170000</v>
      </c>
      <c r="D34" s="7">
        <f>SUM(D29:D33)</f>
        <v>52700</v>
      </c>
      <c r="E34" s="7">
        <f>SUM(E29:E33)</f>
        <v>52700</v>
      </c>
      <c r="F34" s="7"/>
      <c r="G34" s="14"/>
      <c r="H34" s="7">
        <f>SUM(G29:G33)</f>
        <v>31521.05195473251</v>
      </c>
    </row>
    <row r="35" ht="15">
      <c r="G35" s="13">
        <f>SUM(G28:G34)</f>
        <v>-138478.9480452675</v>
      </c>
    </row>
    <row r="36" ht="15">
      <c r="A36" t="s">
        <v>0</v>
      </c>
    </row>
    <row r="37" spans="1:7" ht="15">
      <c r="A37" t="s">
        <v>1</v>
      </c>
      <c r="E37" t="s">
        <v>30</v>
      </c>
      <c r="F37" s="7">
        <v>170000</v>
      </c>
      <c r="G37" s="24">
        <f>PMT(F38,F39,F37)</f>
        <v>-55598.528315155774</v>
      </c>
    </row>
    <row r="38" spans="5:6" ht="15">
      <c r="E38" s="24" t="s">
        <v>46</v>
      </c>
      <c r="F38" s="25">
        <v>0.19</v>
      </c>
    </row>
    <row r="39" spans="1:6" ht="18.75">
      <c r="A39" t="s">
        <v>2</v>
      </c>
      <c r="B39" s="15" t="s">
        <v>21</v>
      </c>
      <c r="C39" s="16"/>
      <c r="E39" t="s">
        <v>47</v>
      </c>
      <c r="F39">
        <v>5</v>
      </c>
    </row>
    <row r="40" spans="1:9" ht="15">
      <c r="A40" s="4" t="s">
        <v>4</v>
      </c>
      <c r="B40" s="4" t="s">
        <v>22</v>
      </c>
      <c r="C40" s="4" t="s">
        <v>23</v>
      </c>
      <c r="D40" s="4" t="s">
        <v>24</v>
      </c>
      <c r="E40" s="4" t="s">
        <v>25</v>
      </c>
      <c r="F40" s="4" t="s">
        <v>26</v>
      </c>
      <c r="G40" s="4" t="s">
        <v>27</v>
      </c>
      <c r="H40" s="4" t="s">
        <v>8</v>
      </c>
      <c r="I40" s="4" t="s">
        <v>9</v>
      </c>
    </row>
    <row r="41" spans="1:9" ht="15">
      <c r="A41" s="4"/>
      <c r="B41" s="4" t="s">
        <v>28</v>
      </c>
      <c r="C41" s="4"/>
      <c r="D41" s="4" t="s">
        <v>29</v>
      </c>
      <c r="E41" s="4" t="s">
        <v>30</v>
      </c>
      <c r="F41" s="4" t="s">
        <v>31</v>
      </c>
      <c r="G41" s="4" t="s">
        <v>10</v>
      </c>
      <c r="H41" s="4" t="s">
        <v>12</v>
      </c>
      <c r="I41" s="4" t="s">
        <v>13</v>
      </c>
    </row>
    <row r="42" spans="3:8" ht="15">
      <c r="C42" s="5">
        <f>+F38</f>
        <v>0.19</v>
      </c>
      <c r="D42" s="6"/>
      <c r="G42" s="5">
        <f>+C7</f>
        <v>0.31</v>
      </c>
      <c r="H42" s="26">
        <f>+F27</f>
        <v>0.2</v>
      </c>
    </row>
    <row r="43" spans="1:9" ht="15">
      <c r="A43">
        <v>1</v>
      </c>
      <c r="B43" s="7">
        <f>+B28</f>
        <v>170000</v>
      </c>
      <c r="C43" s="7">
        <f>ROUNDUP(B43*$C$42,2)</f>
        <v>32300</v>
      </c>
      <c r="D43" s="7">
        <f>+G37</f>
        <v>-55598.528315155774</v>
      </c>
      <c r="E43" s="7">
        <f>+D43+C43</f>
        <v>-23298.528315155774</v>
      </c>
      <c r="F43" s="7">
        <f>+B43+E43</f>
        <v>146701.47168484423</v>
      </c>
      <c r="G43" s="7">
        <f>+C43*$G$42</f>
        <v>10013</v>
      </c>
      <c r="H43" s="12">
        <f>POWER((1+$F$27),-1)</f>
        <v>0.8333333333333334</v>
      </c>
      <c r="I43" s="17">
        <f>+G43*H43</f>
        <v>8344.166666666668</v>
      </c>
    </row>
    <row r="44" spans="1:9" ht="15">
      <c r="A44">
        <v>2</v>
      </c>
      <c r="B44" s="7">
        <f>+F43</f>
        <v>146701.47168484423</v>
      </c>
      <c r="C44" s="7">
        <f>ROUNDUP(B44*$C$42,2)</f>
        <v>27873.28</v>
      </c>
      <c r="D44" s="7">
        <f>+D43</f>
        <v>-55598.528315155774</v>
      </c>
      <c r="E44" s="7">
        <f>+D44+C44</f>
        <v>-27725.248315155775</v>
      </c>
      <c r="F44" s="7">
        <f>+B44+E44</f>
        <v>118976.22336968847</v>
      </c>
      <c r="G44" s="7">
        <f>+C44*$G$42</f>
        <v>8640.7168</v>
      </c>
      <c r="H44" s="12">
        <f>POWER((1+$F$27),-2)</f>
        <v>0.6944444444444444</v>
      </c>
      <c r="I44" s="17">
        <f>+G44*H44</f>
        <v>6000.497777777778</v>
      </c>
    </row>
    <row r="45" spans="1:9" ht="15">
      <c r="A45">
        <v>3</v>
      </c>
      <c r="B45" s="7">
        <f>+F44</f>
        <v>118976.22336968847</v>
      </c>
      <c r="C45" s="7">
        <f>ROUNDUP(B45*$C$42,2)</f>
        <v>22605.489999999998</v>
      </c>
      <c r="D45" s="7">
        <f>+D44</f>
        <v>-55598.528315155774</v>
      </c>
      <c r="E45" s="7">
        <f>+D45+C45</f>
        <v>-32993.038315155776</v>
      </c>
      <c r="F45" s="7">
        <f>+B45+E45</f>
        <v>85983.18505453269</v>
      </c>
      <c r="G45" s="7">
        <f>+C45*$G$42</f>
        <v>7007.701899999999</v>
      </c>
      <c r="H45" s="12">
        <f>POWER((1+$F$27),-3)</f>
        <v>0.5787037037037037</v>
      </c>
      <c r="I45" s="17">
        <f>+G45*H45</f>
        <v>4055.383043981481</v>
      </c>
    </row>
    <row r="46" spans="1:9" ht="15">
      <c r="A46">
        <v>4</v>
      </c>
      <c r="B46" s="7">
        <f>+F45</f>
        <v>85983.18505453269</v>
      </c>
      <c r="C46" s="7">
        <f>ROUNDUP(B46*$C$42,2)</f>
        <v>16336.81</v>
      </c>
      <c r="D46" s="7">
        <f>+D45</f>
        <v>-55598.528315155774</v>
      </c>
      <c r="E46" s="7">
        <f>+D46+C46</f>
        <v>-39261.71831515578</v>
      </c>
      <c r="F46" s="7">
        <f>+B46+E46</f>
        <v>46721.46673937691</v>
      </c>
      <c r="G46" s="7">
        <f>+C46*$G$42</f>
        <v>5064.411099999999</v>
      </c>
      <c r="H46" s="12">
        <f>POWER((1+$F$27),-4)</f>
        <v>0.4822530864197531</v>
      </c>
      <c r="I46" s="17">
        <f>+G46*H46</f>
        <v>2442.327883873457</v>
      </c>
    </row>
    <row r="47" spans="1:9" ht="15">
      <c r="A47">
        <v>5</v>
      </c>
      <c r="B47" s="7">
        <f>+F46</f>
        <v>46721.46673937691</v>
      </c>
      <c r="C47" s="7">
        <f>ROUNDUP(B47*$C$42,2)</f>
        <v>8877.08</v>
      </c>
      <c r="D47" s="7">
        <f>+D46</f>
        <v>-55598.528315155774</v>
      </c>
      <c r="E47" s="7">
        <f>+D47+C47</f>
        <v>-46721.44831515577</v>
      </c>
      <c r="F47" s="7">
        <f>+B47+E47</f>
        <v>0.01842422113986686</v>
      </c>
      <c r="G47" s="7">
        <f>+C47*$G$42</f>
        <v>2751.8948</v>
      </c>
      <c r="H47" s="12">
        <f>POWER((1+$F$27),-5)</f>
        <v>0.4018775720164609</v>
      </c>
      <c r="I47" s="17">
        <f>+G47*H47</f>
        <v>1105.9248006687244</v>
      </c>
    </row>
    <row r="48" spans="1:9" ht="15.75">
      <c r="A48" t="s">
        <v>14</v>
      </c>
      <c r="B48" s="7">
        <f>SUM(B43:B47)</f>
        <v>568382.3468484423</v>
      </c>
      <c r="C48" s="7">
        <f>SUM(C43:C47)</f>
        <v>107992.65999999999</v>
      </c>
      <c r="D48" s="7">
        <f>SUM(D43:D47)</f>
        <v>-277992.6415757789</v>
      </c>
      <c r="E48" s="7">
        <f>SUM(E43:E47)</f>
        <v>-169999.9815757789</v>
      </c>
      <c r="F48" s="7"/>
      <c r="G48" s="7">
        <f>SUM(G43:G47)</f>
        <v>33477.7246</v>
      </c>
      <c r="H48" s="7"/>
      <c r="I48" s="18">
        <f>SUM(I43:I47)</f>
        <v>21948.30017296811</v>
      </c>
    </row>
    <row r="49" ht="15">
      <c r="I49" s="19"/>
    </row>
    <row r="50" ht="15">
      <c r="A50" t="s">
        <v>32</v>
      </c>
    </row>
    <row r="51" spans="1:4" ht="15">
      <c r="A51" t="s">
        <v>33</v>
      </c>
      <c r="D51" s="7">
        <f>+B43</f>
        <v>170000</v>
      </c>
    </row>
    <row r="52" spans="1:3" ht="15">
      <c r="A52" t="s">
        <v>34</v>
      </c>
      <c r="C52" s="7">
        <f>+H34</f>
        <v>31521.05195473251</v>
      </c>
    </row>
    <row r="53" spans="1:4" ht="15.75" thickBot="1">
      <c r="A53" t="s">
        <v>35</v>
      </c>
      <c r="C53" s="20">
        <f>+I48</f>
        <v>21948.30017296811</v>
      </c>
      <c r="D53" s="20">
        <f>SUM(C52:C53)</f>
        <v>53469.35212770062</v>
      </c>
    </row>
    <row r="54" spans="1:4" ht="15.75">
      <c r="A54" s="21" t="s">
        <v>36</v>
      </c>
      <c r="B54" s="21"/>
      <c r="C54" s="21"/>
      <c r="D54" s="18">
        <f>+D51-D53</f>
        <v>116530.64787229938</v>
      </c>
    </row>
    <row r="55" ht="15">
      <c r="D55" t="s">
        <v>37</v>
      </c>
    </row>
    <row r="56" ht="18.75">
      <c r="A56" s="22" t="s">
        <v>38</v>
      </c>
    </row>
    <row r="58" spans="1:4" ht="15">
      <c r="A58" t="s">
        <v>39</v>
      </c>
      <c r="C58" s="31" t="s">
        <v>40</v>
      </c>
      <c r="D58" s="31" t="s">
        <v>41</v>
      </c>
    </row>
    <row r="59" spans="3:4" ht="15">
      <c r="C59" s="31" t="s">
        <v>42</v>
      </c>
      <c r="D59" s="31" t="s">
        <v>57</v>
      </c>
    </row>
    <row r="61" spans="1:4" ht="21">
      <c r="A61" s="1" t="s">
        <v>43</v>
      </c>
      <c r="B61" s="1"/>
      <c r="C61" s="23">
        <f>+B19</f>
        <v>400000</v>
      </c>
      <c r="D61" s="23">
        <f>+F19</f>
        <v>115712.2295612013</v>
      </c>
    </row>
    <row r="62" spans="1:4" ht="21">
      <c r="A62" s="1" t="s">
        <v>44</v>
      </c>
      <c r="B62" s="1"/>
      <c r="C62" s="23">
        <f>-E28</f>
        <v>170000</v>
      </c>
      <c r="D62" s="23">
        <f>+G35*-1</f>
        <v>138478.9480452675</v>
      </c>
    </row>
    <row r="63" spans="1:4" ht="21">
      <c r="A63" s="1" t="s">
        <v>45</v>
      </c>
      <c r="B63" s="1"/>
      <c r="C63" s="23">
        <f>-D48</f>
        <v>277992.6415757789</v>
      </c>
      <c r="D63" s="23">
        <f>+D54</f>
        <v>116530.64787229938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Lic.Morales</dc:creator>
  <cp:keywords/>
  <dc:description/>
  <cp:lastModifiedBy>DELFIDO MORALES</cp:lastModifiedBy>
  <cp:lastPrinted>2012-07-18T20:08:27Z</cp:lastPrinted>
  <dcterms:created xsi:type="dcterms:W3CDTF">2011-08-03T20:54:57Z</dcterms:created>
  <dcterms:modified xsi:type="dcterms:W3CDTF">2013-07-21T06:13:44Z</dcterms:modified>
  <cp:category/>
  <cp:version/>
  <cp:contentType/>
  <cp:contentStatus/>
</cp:coreProperties>
</file>