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<sst xmlns="http://schemas.openxmlformats.org/spreadsheetml/2006/main" count="129" uniqueCount="104">
  <si>
    <t>CEDULA DE ELEMENTOS ESTANDAR</t>
  </si>
  <si>
    <t xml:space="preserve">H.F. </t>
  </si>
  <si>
    <t>H.H.</t>
  </si>
  <si>
    <t>PRODUCCION</t>
  </si>
  <si>
    <t>T.N.P.</t>
  </si>
  <si>
    <t>DESCRIPCION</t>
  </si>
  <si>
    <t>U/M</t>
  </si>
  <si>
    <t>CANTIDAD</t>
  </si>
  <si>
    <t>COSTO EST.</t>
  </si>
  <si>
    <t>COSTO TOTAL</t>
  </si>
  <si>
    <t>MATERIA PRIMA</t>
  </si>
  <si>
    <t>LIBRA</t>
  </si>
  <si>
    <t>HOJA TECNICA DE COSTO ESTANDAR DE PRODUCCION DE UN BARRIL DE LATEX DE 500 LBS.</t>
  </si>
  <si>
    <t>LATEX EN BRUTO</t>
  </si>
  <si>
    <t>AMONIACO</t>
  </si>
  <si>
    <t>QUIMICOS</t>
  </si>
  <si>
    <t>BARRIL</t>
  </si>
  <si>
    <t>UNIDAD</t>
  </si>
  <si>
    <t xml:space="preserve">      suero</t>
  </si>
  <si>
    <t>MANO DE OBRA</t>
  </si>
  <si>
    <t>C.H.H.M.O</t>
  </si>
  <si>
    <t>C.H.H.G.F.</t>
  </si>
  <si>
    <t>GASTOS DE FABRICACION</t>
  </si>
  <si>
    <t>TOTAL COSTO EST. DE PROD. DE 1 BARRIL DE 500 LBS.</t>
  </si>
  <si>
    <t>CEDULA DE ELEMENTOS REALES</t>
  </si>
  <si>
    <t>1800 BARRILES</t>
  </si>
  <si>
    <t>SUERO</t>
  </si>
  <si>
    <t>160,000 LIRAS</t>
  </si>
  <si>
    <t>CEDULA DE VARIACIONES</t>
  </si>
  <si>
    <t>ESTANDAR</t>
  </si>
  <si>
    <t>REAL</t>
  </si>
  <si>
    <t>DIF.</t>
  </si>
  <si>
    <t xml:space="preserve">COSTO EST. </t>
  </si>
  <si>
    <t>CONSUMO O</t>
  </si>
  <si>
    <t>TPO REAL</t>
  </si>
  <si>
    <t xml:space="preserve">       VARIACIONES</t>
  </si>
  <si>
    <t>Materia Prima</t>
  </si>
  <si>
    <t>Latex en bruto</t>
  </si>
  <si>
    <t>1800*588.24</t>
  </si>
  <si>
    <t>Suero 1800*88.24</t>
  </si>
  <si>
    <t>Amoníaco 1800*12.50</t>
  </si>
  <si>
    <t>Químicos 1800*0.75</t>
  </si>
  <si>
    <t>Cantidad</t>
  </si>
  <si>
    <t>Barriles 1800*1</t>
  </si>
  <si>
    <t xml:space="preserve">   Total variación cantidad M.P.</t>
  </si>
  <si>
    <t>Costo</t>
  </si>
  <si>
    <t>Amoníaco</t>
  </si>
  <si>
    <t>Químicos</t>
  </si>
  <si>
    <t>Barriles</t>
  </si>
  <si>
    <t>Mano de Obra</t>
  </si>
  <si>
    <t xml:space="preserve">   Variación neta en costo</t>
  </si>
  <si>
    <t>Cantidad 1800*1.50</t>
  </si>
  <si>
    <t>Gastos de fabricación</t>
  </si>
  <si>
    <t>CONTABILIZACION</t>
  </si>
  <si>
    <t>INVENTARIO DE MATERIA PRIMA</t>
  </si>
  <si>
    <t>IVA POR COBRAR</t>
  </si>
  <si>
    <t xml:space="preserve">   PROVEEDORES</t>
  </si>
  <si>
    <t>MATERIA PRIMA EN PROCESO</t>
  </si>
  <si>
    <t>MANO DE OBRA EN PROCESO</t>
  </si>
  <si>
    <t>GASTOS DE FAB. EN PROCESO</t>
  </si>
  <si>
    <t>PLANILLAS POR PAGAR</t>
  </si>
  <si>
    <t>CUENTAS VARIAS</t>
  </si>
  <si>
    <t>INVENTARIO  DE PROD. TERMINADOS</t>
  </si>
  <si>
    <t>GASTOS DE FABRICACION EN PROCESO</t>
  </si>
  <si>
    <t>VARIACION CANT. MATERIA PRIMA</t>
  </si>
  <si>
    <t>VARIACION CANT. MANO DE OBRA</t>
  </si>
  <si>
    <t>VARIACION COSTO MANO DE OBRA</t>
  </si>
  <si>
    <t>VARIACION CANT. GASTO DE FAB.</t>
  </si>
  <si>
    <t xml:space="preserve">  MATERIA PRIMA EN PROCESO</t>
  </si>
  <si>
    <t xml:space="preserve">  MANO DE OBRA EN PROCESO</t>
  </si>
  <si>
    <t xml:space="preserve">  GASTOS DE FABRICACION EN PROCESO</t>
  </si>
  <si>
    <t xml:space="preserve">  VARIACION COSTO GASTOS DE FAB.</t>
  </si>
  <si>
    <t>CLIENTES</t>
  </si>
  <si>
    <t>VENTAS DE LATEX</t>
  </si>
  <si>
    <t>VENTAS DE SUERO</t>
  </si>
  <si>
    <t>IVA POR PAGAR</t>
  </si>
  <si>
    <t>COSTO ESTANDAR DE VENTAS LATEX</t>
  </si>
  <si>
    <t>COSTO ESTANDAR DE VENTAS SUERO</t>
  </si>
  <si>
    <t xml:space="preserve">  INVENTARIO DE PRODUCTO TERMINADO</t>
  </si>
  <si>
    <t xml:space="preserve">  INVENTARIO DE SUB-PRODUCTOS</t>
  </si>
  <si>
    <t>GASTOS DE OPERACIÓN</t>
  </si>
  <si>
    <t>ESTADO DE RESULTADOS</t>
  </si>
  <si>
    <t xml:space="preserve">VENTAS </t>
  </si>
  <si>
    <t>LATEX</t>
  </si>
  <si>
    <t>COSTO DE VENTAS ESTANDAR</t>
  </si>
  <si>
    <t>GANANCIA BRUTA ESTANDAR</t>
  </si>
  <si>
    <t>GANANCIA BRUTA REAL</t>
  </si>
  <si>
    <t>GANANCIA ANTES DE IMPUESTOS</t>
  </si>
  <si>
    <t>1000 x500x6</t>
  </si>
  <si>
    <t>MAS VARIACIONES NETAS FAVORABLES</t>
  </si>
  <si>
    <t>VARIACION FAVORABLE COSTO MAT. PRIMA</t>
  </si>
  <si>
    <t>VARIACION TOTAL NETA FAVORABLE</t>
  </si>
  <si>
    <t>LATEX CONCENTRADO</t>
  </si>
  <si>
    <t>EL FISIQUIN</t>
  </si>
  <si>
    <t>lbs bruto</t>
  </si>
  <si>
    <t>lbs concentrado</t>
  </si>
  <si>
    <t>suero</t>
  </si>
  <si>
    <t>lbs amoniaco</t>
  </si>
  <si>
    <t>DESFAVOR.</t>
  </si>
  <si>
    <t>FAVORABLE</t>
  </si>
  <si>
    <t>INVENTARIO DE SUB-PRODUCTO</t>
  </si>
  <si>
    <t>1800*2218.72+160000*2</t>
  </si>
  <si>
    <t>160000X2</t>
  </si>
  <si>
    <t>DEL 1 AL 30 DE JUNIO 2,014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</si>
</sst>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#,##0.0"/>
    <numFmt numFmtId="168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0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.57421875" style="0" customWidth="1"/>
    <col min="3" max="3" width="13.421875" style="0" customWidth="1"/>
    <col min="4" max="5" width="11.7109375" style="0" bestFit="1" customWidth="1"/>
    <col min="6" max="6" width="14.28125" style="0" customWidth="1"/>
    <col min="7" max="7" width="13.421875" style="0" customWidth="1"/>
    <col min="8" max="9" width="12.421875" style="0" bestFit="1" customWidth="1"/>
    <col min="11" max="11" width="11.421875" style="0" customWidth="1"/>
  </cols>
  <sheetData>
    <row r="1" ht="12.75">
      <c r="B1" s="4" t="s">
        <v>93</v>
      </c>
    </row>
    <row r="2" ht="12.75">
      <c r="B2" s="4" t="s">
        <v>0</v>
      </c>
    </row>
    <row r="3" spans="2:6" ht="12.75">
      <c r="B3" t="s">
        <v>1</v>
      </c>
      <c r="C3">
        <v>250</v>
      </c>
      <c r="D3">
        <v>24</v>
      </c>
      <c r="F3" s="1">
        <f>C3*D3</f>
        <v>6000</v>
      </c>
    </row>
    <row r="4" spans="2:6" ht="12.75">
      <c r="B4" t="s">
        <v>2</v>
      </c>
      <c r="C4">
        <v>250</v>
      </c>
      <c r="D4">
        <v>8</v>
      </c>
      <c r="E4">
        <v>5</v>
      </c>
      <c r="F4">
        <f>C4*D4*E4</f>
        <v>10000</v>
      </c>
    </row>
    <row r="5" spans="3:6" ht="12.75">
      <c r="C5">
        <v>250</v>
      </c>
      <c r="D5">
        <v>8</v>
      </c>
      <c r="E5">
        <v>5</v>
      </c>
      <c r="F5">
        <f>C5*D5*E5</f>
        <v>10000</v>
      </c>
    </row>
    <row r="6" spans="3:6" ht="12.75">
      <c r="C6">
        <v>250</v>
      </c>
      <c r="D6">
        <v>8</v>
      </c>
      <c r="E6">
        <v>5</v>
      </c>
      <c r="F6">
        <f>C6*D6*E6</f>
        <v>10000</v>
      </c>
    </row>
    <row r="7" ht="12.75">
      <c r="F7" s="1">
        <f>SUM(F4:F6)</f>
        <v>30000</v>
      </c>
    </row>
    <row r="8" ht="12.75">
      <c r="B8" t="s">
        <v>3</v>
      </c>
    </row>
    <row r="9" spans="3:6" ht="12.75">
      <c r="C9">
        <v>250</v>
      </c>
      <c r="D9">
        <v>80</v>
      </c>
      <c r="F9" s="1">
        <f>C9*D9</f>
        <v>20000</v>
      </c>
    </row>
    <row r="11" spans="2:6" ht="12.75">
      <c r="B11" t="s">
        <v>4</v>
      </c>
      <c r="C11">
        <v>30000</v>
      </c>
      <c r="D11">
        <v>20000</v>
      </c>
      <c r="F11" s="1">
        <f>C11/D11</f>
        <v>1.5</v>
      </c>
    </row>
    <row r="12" ht="12.75">
      <c r="F12" s="5"/>
    </row>
    <row r="13" spans="2:6" ht="12.75">
      <c r="B13" t="s">
        <v>20</v>
      </c>
      <c r="C13">
        <v>432000</v>
      </c>
      <c r="D13">
        <f>F7</f>
        <v>30000</v>
      </c>
      <c r="F13" s="5">
        <f>C13/D13</f>
        <v>14.4</v>
      </c>
    </row>
    <row r="14" ht="12.75">
      <c r="F14" s="5"/>
    </row>
    <row r="15" spans="2:6" ht="12.75">
      <c r="B15" t="s">
        <v>21</v>
      </c>
      <c r="C15">
        <v>450000</v>
      </c>
      <c r="D15">
        <f>D13</f>
        <v>30000</v>
      </c>
      <c r="F15" s="5">
        <f>C15/D15</f>
        <v>15</v>
      </c>
    </row>
    <row r="16" ht="12.75">
      <c r="F16" s="5"/>
    </row>
    <row r="17" ht="12.75">
      <c r="F17" s="5"/>
    </row>
    <row r="19" spans="2:8" ht="12.75">
      <c r="B19" s="4" t="s">
        <v>12</v>
      </c>
      <c r="C19" s="4"/>
      <c r="D19" s="4"/>
      <c r="E19" s="4"/>
      <c r="F19" s="4"/>
      <c r="G19" s="4"/>
      <c r="H19" s="4"/>
    </row>
    <row r="21" spans="2:7" ht="12.75">
      <c r="B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2:9" ht="12.75">
      <c r="B22" s="4" t="s">
        <v>10</v>
      </c>
      <c r="E22" s="2"/>
      <c r="H22" s="18" t="s">
        <v>94</v>
      </c>
      <c r="I22" s="18" t="s">
        <v>95</v>
      </c>
    </row>
    <row r="23" spans="2:9" ht="12.75">
      <c r="B23" t="s">
        <v>13</v>
      </c>
      <c r="D23" t="s">
        <v>11</v>
      </c>
      <c r="E23" s="2">
        <f>500*100/85</f>
        <v>588.2352941176471</v>
      </c>
      <c r="F23">
        <v>4</v>
      </c>
      <c r="G23" s="2">
        <f>E23*F23</f>
        <v>2352.9411764705883</v>
      </c>
      <c r="H23">
        <v>100</v>
      </c>
      <c r="I23">
        <v>85</v>
      </c>
    </row>
    <row r="24" spans="2:9" ht="12.75">
      <c r="B24" t="s">
        <v>18</v>
      </c>
      <c r="E24" s="2">
        <f>588.24*15/100</f>
        <v>88.236</v>
      </c>
      <c r="F24">
        <v>2</v>
      </c>
      <c r="G24" s="3">
        <f>-E24*F24</f>
        <v>-176.472</v>
      </c>
      <c r="H24" s="4">
        <f>I24*H23/I23</f>
        <v>588.2352941176471</v>
      </c>
      <c r="I24">
        <v>500</v>
      </c>
    </row>
    <row r="25" spans="5:7" ht="12.75">
      <c r="E25" s="2"/>
      <c r="G25" s="2">
        <f>SUM(G23:G24)</f>
        <v>2176.469176470588</v>
      </c>
    </row>
    <row r="26" spans="2:9" ht="12.75">
      <c r="B26" t="s">
        <v>14</v>
      </c>
      <c r="D26" t="s">
        <v>11</v>
      </c>
      <c r="E26">
        <f>500*5/200</f>
        <v>12.5</v>
      </c>
      <c r="F26">
        <v>2</v>
      </c>
      <c r="G26" s="2">
        <f>E26*F26</f>
        <v>25</v>
      </c>
      <c r="H26" t="s">
        <v>94</v>
      </c>
      <c r="I26" t="s">
        <v>96</v>
      </c>
    </row>
    <row r="27" spans="2:9" ht="12.75">
      <c r="B27" t="s">
        <v>15</v>
      </c>
      <c r="D27" t="s">
        <v>11</v>
      </c>
      <c r="E27">
        <f>500*3/2000</f>
        <v>0.75</v>
      </c>
      <c r="F27">
        <v>3</v>
      </c>
      <c r="G27" s="2">
        <f>E27*F27</f>
        <v>2.25</v>
      </c>
      <c r="H27">
        <v>100</v>
      </c>
      <c r="I27">
        <v>15</v>
      </c>
    </row>
    <row r="28" spans="2:9" ht="12.75">
      <c r="B28" t="s">
        <v>16</v>
      </c>
      <c r="D28" t="s">
        <v>17</v>
      </c>
      <c r="E28">
        <v>1</v>
      </c>
      <c r="F28">
        <v>15</v>
      </c>
      <c r="G28" s="3">
        <f>E28*F28</f>
        <v>15</v>
      </c>
      <c r="H28" s="21">
        <f>+H24</f>
        <v>588.2352941176471</v>
      </c>
      <c r="I28" s="4">
        <f>+I27*H28/H27</f>
        <v>88.23529411764706</v>
      </c>
    </row>
    <row r="29" ht="12.75">
      <c r="G29" s="2">
        <f>SUM(G25:G28)</f>
        <v>2218.719176470588</v>
      </c>
    </row>
    <row r="30" spans="2:9" ht="12.75">
      <c r="B30" s="4" t="s">
        <v>19</v>
      </c>
      <c r="D30" t="s">
        <v>2</v>
      </c>
      <c r="E30">
        <f>F11</f>
        <v>1.5</v>
      </c>
      <c r="F30">
        <f>F13</f>
        <v>14.4</v>
      </c>
      <c r="G30" s="2">
        <f>E30*F30</f>
        <v>21.6</v>
      </c>
      <c r="H30" t="s">
        <v>97</v>
      </c>
      <c r="I30" t="s">
        <v>95</v>
      </c>
    </row>
    <row r="31" spans="7:9" ht="12.75">
      <c r="G31" s="2"/>
      <c r="H31">
        <v>5</v>
      </c>
      <c r="I31">
        <v>200</v>
      </c>
    </row>
    <row r="32" spans="2:9" ht="13.5" thickBot="1">
      <c r="B32" s="4" t="s">
        <v>22</v>
      </c>
      <c r="C32" s="4"/>
      <c r="D32" t="s">
        <v>2</v>
      </c>
      <c r="E32">
        <f>F11</f>
        <v>1.5</v>
      </c>
      <c r="F32">
        <f>F15</f>
        <v>15</v>
      </c>
      <c r="G32" s="2">
        <f>E32*F32</f>
        <v>22.5</v>
      </c>
      <c r="H32" s="4">
        <f>+H31*I32/I31</f>
        <v>12.5</v>
      </c>
      <c r="I32">
        <v>500</v>
      </c>
    </row>
    <row r="33" spans="2:7" ht="13.5" thickBot="1">
      <c r="B33" s="4" t="s">
        <v>23</v>
      </c>
      <c r="C33" s="4"/>
      <c r="D33" s="4"/>
      <c r="E33" s="4"/>
      <c r="F33" s="4"/>
      <c r="G33" s="6">
        <f>SUM(G29:G32)</f>
        <v>2262.819176470588</v>
      </c>
    </row>
    <row r="35" spans="2:4" ht="12.75">
      <c r="B35" s="4" t="s">
        <v>24</v>
      </c>
      <c r="C35" s="4"/>
      <c r="D35" s="4"/>
    </row>
    <row r="36" spans="2:6" ht="12.75">
      <c r="B36" t="s">
        <v>1</v>
      </c>
      <c r="C36">
        <v>23</v>
      </c>
      <c r="D36">
        <v>24</v>
      </c>
      <c r="F36" s="1">
        <f>C36*D36</f>
        <v>552</v>
      </c>
    </row>
    <row r="37" spans="2:6" ht="12.75">
      <c r="B37" t="s">
        <v>2</v>
      </c>
      <c r="C37">
        <v>23</v>
      </c>
      <c r="D37">
        <v>8</v>
      </c>
      <c r="E37">
        <v>5</v>
      </c>
      <c r="F37">
        <f>C37*D37*E37</f>
        <v>920</v>
      </c>
    </row>
    <row r="38" spans="3:10" ht="12.75">
      <c r="C38">
        <v>23</v>
      </c>
      <c r="D38">
        <v>8</v>
      </c>
      <c r="E38">
        <v>5</v>
      </c>
      <c r="F38">
        <f>C38*D38*E38</f>
        <v>920</v>
      </c>
      <c r="J38" s="2"/>
    </row>
    <row r="39" spans="3:6" ht="12.75">
      <c r="C39">
        <v>23</v>
      </c>
      <c r="D39">
        <v>8</v>
      </c>
      <c r="E39">
        <v>5</v>
      </c>
      <c r="F39">
        <f>C39*D39*E39</f>
        <v>920</v>
      </c>
    </row>
    <row r="40" ht="12.75">
      <c r="F40" s="1">
        <f>SUM(F37:F39)</f>
        <v>2760</v>
      </c>
    </row>
    <row r="41" ht="12.75">
      <c r="B41" t="s">
        <v>3</v>
      </c>
    </row>
    <row r="42" spans="2:6" ht="12.75">
      <c r="B42" t="s">
        <v>92</v>
      </c>
      <c r="F42" s="5" t="s">
        <v>25</v>
      </c>
    </row>
    <row r="43" spans="2:6" ht="12.75">
      <c r="B43" t="s">
        <v>26</v>
      </c>
      <c r="F43" t="s">
        <v>27</v>
      </c>
    </row>
    <row r="44" ht="12.75">
      <c r="F44" s="5"/>
    </row>
    <row r="45" ht="12.75">
      <c r="F45" s="5"/>
    </row>
    <row r="46" spans="2:6" ht="12.75">
      <c r="B46" t="s">
        <v>20</v>
      </c>
      <c r="C46" s="20">
        <v>40020</v>
      </c>
      <c r="D46">
        <f>F40</f>
        <v>2760</v>
      </c>
      <c r="F46" s="5">
        <f>C46/D46</f>
        <v>14.5</v>
      </c>
    </row>
    <row r="47" spans="3:6" ht="12.75">
      <c r="C47" s="20"/>
      <c r="F47" s="5"/>
    </row>
    <row r="48" spans="2:6" ht="12.75">
      <c r="B48" t="s">
        <v>21</v>
      </c>
      <c r="C48" s="20">
        <v>41344.8</v>
      </c>
      <c r="D48">
        <f>D46</f>
        <v>2760</v>
      </c>
      <c r="F48" s="5">
        <f>C48/D48</f>
        <v>14.98</v>
      </c>
    </row>
    <row r="49" ht="12.75">
      <c r="F49" s="5"/>
    </row>
    <row r="50" spans="2:7" ht="12.75">
      <c r="B50" t="s">
        <v>28</v>
      </c>
      <c r="G50" t="s">
        <v>32</v>
      </c>
    </row>
    <row r="51" spans="7:8" ht="12.75">
      <c r="G51" t="s">
        <v>33</v>
      </c>
      <c r="H51" t="s">
        <v>35</v>
      </c>
    </row>
    <row r="52" spans="2:9" ht="12.75">
      <c r="B52" s="5" t="s">
        <v>5</v>
      </c>
      <c r="D52" t="s">
        <v>29</v>
      </c>
      <c r="E52" t="s">
        <v>30</v>
      </c>
      <c r="F52" t="s">
        <v>31</v>
      </c>
      <c r="G52" t="s">
        <v>34</v>
      </c>
      <c r="H52" t="s">
        <v>98</v>
      </c>
      <c r="I52" t="s">
        <v>99</v>
      </c>
    </row>
    <row r="53" ht="12.75">
      <c r="B53" s="7" t="s">
        <v>36</v>
      </c>
    </row>
    <row r="54" ht="12.75">
      <c r="B54" s="8" t="s">
        <v>42</v>
      </c>
    </row>
    <row r="55" spans="2:10" ht="12.75">
      <c r="B55" s="10" t="s">
        <v>37</v>
      </c>
      <c r="C55" s="11"/>
      <c r="D55" s="17">
        <f>1800*E23</f>
        <v>1058823.5294117648</v>
      </c>
      <c r="E55" s="17">
        <f>10600*100</f>
        <v>1060000</v>
      </c>
      <c r="F55" s="17">
        <f>E55-D55</f>
        <v>1176.4705882351846</v>
      </c>
      <c r="G55" s="11">
        <f>F23</f>
        <v>4</v>
      </c>
      <c r="H55" s="11">
        <f>F55*G55</f>
        <v>4705.882352940738</v>
      </c>
      <c r="I55" s="11"/>
      <c r="J55" s="11"/>
    </row>
    <row r="56" spans="2:10" ht="12.75">
      <c r="B56" s="10" t="s">
        <v>38</v>
      </c>
      <c r="C56" s="11"/>
      <c r="D56" s="17"/>
      <c r="E56" s="17"/>
      <c r="F56" s="17"/>
      <c r="G56" s="11"/>
      <c r="H56" s="11"/>
      <c r="I56" s="11"/>
      <c r="J56" s="11"/>
    </row>
    <row r="57" spans="2:10" ht="12.75">
      <c r="B57" s="10" t="s">
        <v>39</v>
      </c>
      <c r="C57" s="11"/>
      <c r="D57" s="17">
        <f>1800*E24</f>
        <v>158824.80000000002</v>
      </c>
      <c r="E57" s="17">
        <v>160000</v>
      </c>
      <c r="F57" s="17">
        <f>E57-D57</f>
        <v>1175.1999999999825</v>
      </c>
      <c r="G57" s="11">
        <f>F24</f>
        <v>2</v>
      </c>
      <c r="H57" s="11">
        <f>-F57*G57</f>
        <v>-2350.399999999965</v>
      </c>
      <c r="I57" s="11"/>
      <c r="J57" s="11"/>
    </row>
    <row r="58" spans="2:10" ht="12.75">
      <c r="B58" s="10" t="s">
        <v>40</v>
      </c>
      <c r="C58" s="11"/>
      <c r="D58" s="17">
        <f>1800*E26</f>
        <v>22500</v>
      </c>
      <c r="E58" s="17">
        <v>22800</v>
      </c>
      <c r="F58" s="17">
        <f>E58-D58</f>
        <v>300</v>
      </c>
      <c r="G58" s="11">
        <f>F26</f>
        <v>2</v>
      </c>
      <c r="H58" s="11">
        <f>F58*G58</f>
        <v>600</v>
      </c>
      <c r="I58" s="11"/>
      <c r="J58" s="11"/>
    </row>
    <row r="59" spans="2:10" ht="12.75">
      <c r="B59" s="10" t="s">
        <v>41</v>
      </c>
      <c r="C59" s="11"/>
      <c r="D59" s="17">
        <f>1800*E27</f>
        <v>1350</v>
      </c>
      <c r="E59" s="17">
        <v>1400</v>
      </c>
      <c r="F59" s="17">
        <f>E59-D59</f>
        <v>50</v>
      </c>
      <c r="G59" s="11">
        <f>F27</f>
        <v>3</v>
      </c>
      <c r="H59" s="11">
        <f>F59*G59</f>
        <v>150</v>
      </c>
      <c r="I59" s="11"/>
      <c r="J59" s="11"/>
    </row>
    <row r="60" spans="2:10" ht="12.75">
      <c r="B60" s="10" t="s">
        <v>43</v>
      </c>
      <c r="C60" s="11"/>
      <c r="D60" s="17">
        <f>1800*E28</f>
        <v>1800</v>
      </c>
      <c r="E60" s="17">
        <v>1820</v>
      </c>
      <c r="F60" s="17">
        <f>E60-D60</f>
        <v>20</v>
      </c>
      <c r="G60" s="11">
        <f>F28</f>
        <v>15</v>
      </c>
      <c r="H60" s="12">
        <f>F60*G60</f>
        <v>300</v>
      </c>
      <c r="I60" s="11"/>
      <c r="J60" s="11"/>
    </row>
    <row r="61" spans="2:10" ht="12.75">
      <c r="B61" s="10" t="s">
        <v>44</v>
      </c>
      <c r="C61" s="11"/>
      <c r="D61" s="11"/>
      <c r="E61" s="11"/>
      <c r="F61" s="11"/>
      <c r="G61" s="11"/>
      <c r="H61" s="13">
        <f>SUM(H55:H60)</f>
        <v>3405.482352940773</v>
      </c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3" t="s">
        <v>45</v>
      </c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 t="s">
        <v>37</v>
      </c>
      <c r="C64" s="11"/>
      <c r="D64" s="11">
        <f>G55</f>
        <v>4</v>
      </c>
      <c r="E64" s="11">
        <v>3.98</v>
      </c>
      <c r="F64" s="11">
        <f>E64-D64</f>
        <v>-0.020000000000000018</v>
      </c>
      <c r="G64" s="11">
        <f>E55</f>
        <v>1060000</v>
      </c>
      <c r="H64" s="11"/>
      <c r="I64" s="11">
        <f>F64*G64</f>
        <v>-21200.00000000002</v>
      </c>
      <c r="J64" s="11"/>
    </row>
    <row r="65" spans="2:10" ht="12.75">
      <c r="B65" s="11" t="s">
        <v>46</v>
      </c>
      <c r="C65" s="11"/>
      <c r="D65" s="11">
        <f>G58</f>
        <v>2</v>
      </c>
      <c r="E65" s="11">
        <v>2.05</v>
      </c>
      <c r="F65" s="11">
        <f>E65-D65</f>
        <v>0.04999999999999982</v>
      </c>
      <c r="G65" s="11">
        <f>E58</f>
        <v>22800</v>
      </c>
      <c r="H65" s="11">
        <f>F65*G65</f>
        <v>1139.999999999996</v>
      </c>
      <c r="I65" s="11"/>
      <c r="J65" s="11"/>
    </row>
    <row r="66" spans="2:10" ht="12.75">
      <c r="B66" s="11" t="s">
        <v>47</v>
      </c>
      <c r="C66" s="11"/>
      <c r="D66" s="11">
        <f>G59</f>
        <v>3</v>
      </c>
      <c r="E66" s="11">
        <v>2.95</v>
      </c>
      <c r="F66" s="11">
        <f>E66-D66</f>
        <v>-0.04999999999999982</v>
      </c>
      <c r="G66" s="11">
        <f>E59</f>
        <v>1400</v>
      </c>
      <c r="H66" s="11"/>
      <c r="I66" s="11">
        <f>F66*G66</f>
        <v>-69.99999999999974</v>
      </c>
      <c r="J66" s="11"/>
    </row>
    <row r="67" spans="2:10" ht="12.75">
      <c r="B67" s="11" t="s">
        <v>48</v>
      </c>
      <c r="C67" s="11"/>
      <c r="D67" s="11">
        <f>G60</f>
        <v>15</v>
      </c>
      <c r="E67" s="11">
        <v>14.96</v>
      </c>
      <c r="F67" s="11">
        <f>E67-D67</f>
        <v>-0.03999999999999915</v>
      </c>
      <c r="G67" s="11">
        <f>E60</f>
        <v>1820</v>
      </c>
      <c r="H67" s="12"/>
      <c r="I67" s="12">
        <f>F67*G67</f>
        <v>-72.79999999999845</v>
      </c>
      <c r="J67" s="11"/>
    </row>
    <row r="68" spans="2:10" ht="12.75">
      <c r="B68" s="11"/>
      <c r="C68" s="11"/>
      <c r="D68" s="11"/>
      <c r="E68" s="11"/>
      <c r="F68" s="11"/>
      <c r="G68" s="11"/>
      <c r="H68" s="14">
        <f>SUM(H64:H67)</f>
        <v>1139.999999999996</v>
      </c>
      <c r="I68" s="14">
        <f>SUM(I64:I67)</f>
        <v>-21342.800000000017</v>
      </c>
      <c r="J68" s="11"/>
    </row>
    <row r="69" spans="2:10" ht="12.75">
      <c r="B69" s="11" t="s">
        <v>50</v>
      </c>
      <c r="C69" s="11"/>
      <c r="D69" s="11"/>
      <c r="E69" s="11"/>
      <c r="F69" s="11"/>
      <c r="G69" s="11"/>
      <c r="H69" s="11"/>
      <c r="I69" s="13">
        <f>H68+I68</f>
        <v>-20202.80000000002</v>
      </c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 t="s">
        <v>49</v>
      </c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 t="s">
        <v>51</v>
      </c>
      <c r="C72" s="11"/>
      <c r="D72" s="17">
        <f>1800*1.5</f>
        <v>2700</v>
      </c>
      <c r="E72" s="17">
        <f>F40</f>
        <v>2760</v>
      </c>
      <c r="F72" s="11">
        <f>E72-D72</f>
        <v>60</v>
      </c>
      <c r="G72" s="11">
        <f>F30</f>
        <v>14.4</v>
      </c>
      <c r="H72" s="11">
        <f>F72*G72</f>
        <v>864</v>
      </c>
      <c r="I72" s="11"/>
      <c r="J72" s="1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 t="s">
        <v>45</v>
      </c>
      <c r="C74" s="11"/>
      <c r="D74" s="11">
        <f>G72</f>
        <v>14.4</v>
      </c>
      <c r="E74" s="11">
        <f>F46</f>
        <v>14.5</v>
      </c>
      <c r="F74" s="11">
        <f>E74-D74</f>
        <v>0.09999999999999964</v>
      </c>
      <c r="G74" s="17">
        <f>E72</f>
        <v>2760</v>
      </c>
      <c r="H74" s="11">
        <f>F74*G74</f>
        <v>275.99999999999903</v>
      </c>
      <c r="I74" s="11"/>
      <c r="J74" s="11"/>
    </row>
    <row r="75" spans="2:10" ht="12.7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 s="11" t="s">
        <v>52</v>
      </c>
      <c r="C76" s="11"/>
      <c r="D76" s="11"/>
      <c r="E76" s="11"/>
      <c r="F76" s="11"/>
      <c r="G76" s="11"/>
      <c r="H76" s="11"/>
      <c r="I76" s="11"/>
      <c r="J76" s="11"/>
    </row>
    <row r="77" spans="2:10" ht="12.75">
      <c r="B77" s="11" t="s">
        <v>51</v>
      </c>
      <c r="C77" s="11"/>
      <c r="D77" s="17">
        <f>1800*1.5</f>
        <v>2700</v>
      </c>
      <c r="E77" s="17">
        <v>2760</v>
      </c>
      <c r="F77" s="11">
        <f>E77-D77</f>
        <v>60</v>
      </c>
      <c r="G77" s="11">
        <f>F32</f>
        <v>15</v>
      </c>
      <c r="H77" s="11">
        <f>F77*G77</f>
        <v>900</v>
      </c>
      <c r="I77" s="11"/>
      <c r="J77" s="11"/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2.75">
      <c r="B79" s="11" t="s">
        <v>45</v>
      </c>
      <c r="C79" s="11"/>
      <c r="D79" s="11">
        <f>G77</f>
        <v>15</v>
      </c>
      <c r="E79" s="11">
        <f>F48</f>
        <v>14.98</v>
      </c>
      <c r="F79" s="11">
        <f>E79-D79</f>
        <v>-0.019999999999999574</v>
      </c>
      <c r="G79" s="17">
        <f>E77</f>
        <v>2760</v>
      </c>
      <c r="H79" s="12"/>
      <c r="I79" s="12">
        <f>F79*G79</f>
        <v>-55.19999999999882</v>
      </c>
      <c r="J79" s="11"/>
    </row>
    <row r="80" spans="2:10" ht="12.75">
      <c r="B80" s="11"/>
      <c r="C80" s="11"/>
      <c r="D80" s="11"/>
      <c r="E80" s="11"/>
      <c r="F80" s="11"/>
      <c r="G80" s="11"/>
      <c r="H80" s="11">
        <f>H61+H68+H72+H74+H77</f>
        <v>6585.482352940769</v>
      </c>
      <c r="I80" s="11">
        <f>I68+I79</f>
        <v>-21398.000000000015</v>
      </c>
      <c r="J80" s="11"/>
    </row>
    <row r="81" spans="2:10" ht="13.5" thickBot="1">
      <c r="B81" s="11" t="s">
        <v>91</v>
      </c>
      <c r="C81" s="11"/>
      <c r="D81" s="11"/>
      <c r="E81" s="11"/>
      <c r="F81" s="11"/>
      <c r="G81" s="11"/>
      <c r="H81" s="11">
        <v>14812.52</v>
      </c>
      <c r="I81" s="13"/>
      <c r="J81" s="11"/>
    </row>
    <row r="82" spans="2:10" ht="13.5" thickBot="1">
      <c r="B82" s="11"/>
      <c r="C82" s="11"/>
      <c r="D82" s="11"/>
      <c r="E82" s="11"/>
      <c r="F82" s="11"/>
      <c r="G82" s="11"/>
      <c r="H82" s="15">
        <f>SUM(H80:H81)</f>
        <v>21398.00235294077</v>
      </c>
      <c r="I82" s="16">
        <f>SUM(I80:I81)</f>
        <v>-21398.000000000015</v>
      </c>
      <c r="J82" s="11"/>
    </row>
    <row r="83" spans="2:10" ht="12.75">
      <c r="B83" s="11"/>
      <c r="C83" s="11"/>
      <c r="D83" s="11"/>
      <c r="E83" s="11"/>
      <c r="F83" s="11"/>
      <c r="G83" s="11"/>
      <c r="H83" s="14"/>
      <c r="I83" s="14"/>
      <c r="J83" s="11"/>
    </row>
    <row r="84" spans="2:10" ht="12.75">
      <c r="B84" s="11"/>
      <c r="C84" s="11"/>
      <c r="D84" s="11"/>
      <c r="E84" s="11"/>
      <c r="F84" s="11"/>
      <c r="G84" s="11"/>
      <c r="H84" s="14"/>
      <c r="I84" s="14"/>
      <c r="J84" s="11"/>
    </row>
    <row r="85" spans="2:10" ht="12.75">
      <c r="B85" s="11"/>
      <c r="C85" s="11"/>
      <c r="D85" s="11"/>
      <c r="E85" s="11"/>
      <c r="F85" s="11"/>
      <c r="G85" s="11"/>
      <c r="H85" s="14"/>
      <c r="I85" s="14"/>
      <c r="J85" s="11"/>
    </row>
    <row r="86" spans="2:10" ht="12.75">
      <c r="B86" s="11"/>
      <c r="C86" s="11"/>
      <c r="D86" s="11"/>
      <c r="E86" s="11"/>
      <c r="F86" s="11"/>
      <c r="G86" s="11"/>
      <c r="H86" s="14"/>
      <c r="I86" s="14"/>
      <c r="J86" s="11"/>
    </row>
    <row r="87" spans="2:10" ht="12.75">
      <c r="B87" s="11"/>
      <c r="C87" s="11"/>
      <c r="D87" s="11"/>
      <c r="E87" s="11"/>
      <c r="F87" s="11"/>
      <c r="G87" s="11"/>
      <c r="H87" s="14"/>
      <c r="I87" s="14"/>
      <c r="J87" s="11"/>
    </row>
    <row r="88" spans="2:10" ht="12.75">
      <c r="B88" s="11"/>
      <c r="C88" s="11"/>
      <c r="D88" s="11"/>
      <c r="E88" s="11"/>
      <c r="F88" s="11"/>
      <c r="G88" s="11"/>
      <c r="H88" s="14"/>
      <c r="I88" s="14"/>
      <c r="J88" s="11"/>
    </row>
    <row r="89" spans="2:10" ht="12.75">
      <c r="B89" s="11"/>
      <c r="C89" s="11"/>
      <c r="D89" s="11"/>
      <c r="E89" s="11"/>
      <c r="F89" s="11"/>
      <c r="G89" s="11"/>
      <c r="H89" s="14"/>
      <c r="I89" s="14"/>
      <c r="J89" s="11"/>
    </row>
    <row r="90" spans="2:10" ht="12.75">
      <c r="B90" s="11"/>
      <c r="C90" s="11"/>
      <c r="D90" s="11"/>
      <c r="E90" s="11"/>
      <c r="F90" s="11"/>
      <c r="G90" s="11"/>
      <c r="H90" s="14"/>
      <c r="I90" s="14"/>
      <c r="J90" s="11"/>
    </row>
    <row r="91" spans="2:10" ht="12.75">
      <c r="B91" s="11"/>
      <c r="C91" s="11"/>
      <c r="D91" s="11"/>
      <c r="E91" s="11"/>
      <c r="F91" s="11"/>
      <c r="G91" s="11"/>
      <c r="H91" s="14"/>
      <c r="I91" s="14"/>
      <c r="J91" s="11"/>
    </row>
    <row r="92" spans="2:10" ht="12.75">
      <c r="B92" s="11"/>
      <c r="C92" s="11"/>
      <c r="D92" s="11"/>
      <c r="E92" s="11"/>
      <c r="F92" s="11"/>
      <c r="G92" s="11"/>
      <c r="H92" s="14"/>
      <c r="I92" s="14"/>
      <c r="J92" s="11"/>
    </row>
    <row r="93" spans="2:10" ht="12.75">
      <c r="B93" s="11"/>
      <c r="C93" s="11"/>
      <c r="D93" s="11"/>
      <c r="E93" s="11"/>
      <c r="F93" s="11"/>
      <c r="G93" s="11"/>
      <c r="H93" s="14"/>
      <c r="I93" s="14"/>
      <c r="J93" s="11"/>
    </row>
    <row r="94" spans="2:10" ht="12.75">
      <c r="B94" s="11"/>
      <c r="C94" s="11"/>
      <c r="D94" s="11"/>
      <c r="E94" s="11"/>
      <c r="F94" s="11"/>
      <c r="G94" s="11"/>
      <c r="H94" s="14"/>
      <c r="I94" s="14"/>
      <c r="J94" s="11"/>
    </row>
    <row r="95" spans="2:10" ht="12.75">
      <c r="B95" s="11"/>
      <c r="C95" s="11"/>
      <c r="D95" s="11"/>
      <c r="E95" s="11"/>
      <c r="F95" s="11"/>
      <c r="G95" s="11"/>
      <c r="H95" s="14"/>
      <c r="I95" s="14"/>
      <c r="J95" s="11"/>
    </row>
    <row r="96" spans="2:10" ht="12.75">
      <c r="B96" s="11"/>
      <c r="C96" s="11"/>
      <c r="D96" s="11"/>
      <c r="E96" s="11"/>
      <c r="F96" s="11"/>
      <c r="G96" s="11"/>
      <c r="H96" s="14"/>
      <c r="I96" s="14"/>
      <c r="J96" s="11"/>
    </row>
    <row r="97" spans="2:11" ht="12.75">
      <c r="B97" t="s">
        <v>53</v>
      </c>
      <c r="K97" s="11"/>
    </row>
    <row r="98" spans="2:10" ht="12.75">
      <c r="B98" s="18">
        <v>1</v>
      </c>
      <c r="C98" t="s">
        <v>54</v>
      </c>
      <c r="F98" s="11">
        <v>4296897.2</v>
      </c>
      <c r="G98" s="11"/>
      <c r="H98">
        <v>10600</v>
      </c>
      <c r="I98">
        <v>398</v>
      </c>
      <c r="J98">
        <f>+H98*I98</f>
        <v>4218800</v>
      </c>
    </row>
    <row r="99" spans="3:10" ht="12.75">
      <c r="C99" t="s">
        <v>55</v>
      </c>
      <c r="F99" s="11">
        <f>F98*0.12</f>
        <v>515627.664</v>
      </c>
      <c r="G99" s="11"/>
      <c r="H99">
        <v>22800</v>
      </c>
      <c r="I99">
        <v>2.05</v>
      </c>
      <c r="J99">
        <f>+H99*I99</f>
        <v>46739.99999999999</v>
      </c>
    </row>
    <row r="100" spans="3:10" ht="12.75">
      <c r="C100" t="s">
        <v>56</v>
      </c>
      <c r="F100" s="11"/>
      <c r="G100" s="11">
        <f>F98+F99</f>
        <v>4812524.864</v>
      </c>
      <c r="H100">
        <v>1400</v>
      </c>
      <c r="I100">
        <v>2.95</v>
      </c>
      <c r="J100">
        <f>+H100*I100</f>
        <v>4130</v>
      </c>
    </row>
    <row r="101" spans="6:10" ht="13.5" thickBot="1">
      <c r="F101" s="19">
        <f>SUM(F98:F100)</f>
        <v>4812524.864</v>
      </c>
      <c r="G101" s="19">
        <f>SUM(G100)</f>
        <v>4812524.864</v>
      </c>
      <c r="H101">
        <v>1820</v>
      </c>
      <c r="I101">
        <v>14.96</v>
      </c>
      <c r="J101">
        <f>+H101*I101</f>
        <v>27227.2</v>
      </c>
    </row>
    <row r="102" spans="6:10" ht="14.25" thickBot="1" thickTop="1">
      <c r="F102" s="11"/>
      <c r="G102" s="11"/>
      <c r="J102" s="22">
        <f>SUM(J98:J101)</f>
        <v>4296897.2</v>
      </c>
    </row>
    <row r="103" spans="2:7" ht="13.5" thickTop="1">
      <c r="B103" s="18">
        <v>2</v>
      </c>
      <c r="C103" t="s">
        <v>57</v>
      </c>
      <c r="F103" s="11">
        <f>F98</f>
        <v>4296897.2</v>
      </c>
      <c r="G103" s="11"/>
    </row>
    <row r="104" spans="2:7" ht="12.75">
      <c r="B104" s="18"/>
      <c r="C104" t="s">
        <v>58</v>
      </c>
      <c r="F104" s="11">
        <v>40020</v>
      </c>
      <c r="G104" s="11"/>
    </row>
    <row r="105" spans="2:7" ht="12.75">
      <c r="B105" s="18"/>
      <c r="C105" t="s">
        <v>59</v>
      </c>
      <c r="F105" s="11">
        <v>41344.8</v>
      </c>
      <c r="G105" s="11"/>
    </row>
    <row r="106" spans="2:7" ht="12.75">
      <c r="B106" s="18"/>
      <c r="C106" t="s">
        <v>54</v>
      </c>
      <c r="F106" s="11"/>
      <c r="G106" s="11">
        <f>F103</f>
        <v>4296897.2</v>
      </c>
    </row>
    <row r="107" spans="2:7" ht="12.75">
      <c r="B107" s="18"/>
      <c r="C107" t="s">
        <v>60</v>
      </c>
      <c r="F107" s="11"/>
      <c r="G107" s="11">
        <f>F104</f>
        <v>40020</v>
      </c>
    </row>
    <row r="108" spans="2:7" ht="12.75">
      <c r="B108" s="18"/>
      <c r="C108" t="s">
        <v>61</v>
      </c>
      <c r="F108" s="11"/>
      <c r="G108" s="11">
        <f>F105</f>
        <v>41344.8</v>
      </c>
    </row>
    <row r="109" spans="2:7" ht="13.5" thickBot="1">
      <c r="B109" s="18"/>
      <c r="F109" s="19">
        <f>SUM(F103:F108)</f>
        <v>4378262</v>
      </c>
      <c r="G109" s="19">
        <f>SUM(G106:G108)</f>
        <v>4378262</v>
      </c>
    </row>
    <row r="110" spans="2:7" ht="13.5" thickTop="1">
      <c r="B110" s="18"/>
      <c r="F110" s="11"/>
      <c r="G110" s="11"/>
    </row>
    <row r="111" spans="2:7" ht="12.75">
      <c r="B111" s="18">
        <v>3</v>
      </c>
      <c r="C111" t="s">
        <v>62</v>
      </c>
      <c r="F111" s="11">
        <f>1800*G33</f>
        <v>4073074.5176470582</v>
      </c>
      <c r="G111" s="11"/>
    </row>
    <row r="112" spans="3:7" ht="12.75">
      <c r="C112" t="s">
        <v>100</v>
      </c>
      <c r="F112" s="11">
        <f>160000*2</f>
        <v>320000</v>
      </c>
      <c r="G112" s="11"/>
    </row>
    <row r="113" spans="3:8" ht="12.75">
      <c r="C113" t="s">
        <v>57</v>
      </c>
      <c r="F113" s="11"/>
      <c r="G113" s="11">
        <f>1800*G29+320000</f>
        <v>4313694.517647059</v>
      </c>
      <c r="H113" t="s">
        <v>101</v>
      </c>
    </row>
    <row r="114" spans="3:7" ht="12.75">
      <c r="C114" t="s">
        <v>58</v>
      </c>
      <c r="F114" s="11"/>
      <c r="G114" s="11">
        <f>1800*G30</f>
        <v>38880</v>
      </c>
    </row>
    <row r="115" spans="3:7" ht="12.75">
      <c r="C115" t="s">
        <v>63</v>
      </c>
      <c r="F115" s="11"/>
      <c r="G115" s="11">
        <f>G32*1800</f>
        <v>40500</v>
      </c>
    </row>
    <row r="116" spans="6:7" ht="13.5" thickBot="1">
      <c r="F116" s="19">
        <f>SUM(F111:F115)</f>
        <v>4393074.517647058</v>
      </c>
      <c r="G116" s="19">
        <f>SUM(G113:G115)</f>
        <v>4393074.517647059</v>
      </c>
    </row>
    <row r="117" spans="6:7" ht="13.5" thickTop="1">
      <c r="F117" s="14"/>
      <c r="G117" s="14"/>
    </row>
    <row r="118" spans="2:7" ht="12.75">
      <c r="B118">
        <v>4</v>
      </c>
      <c r="C118" t="s">
        <v>64</v>
      </c>
      <c r="F118" s="11">
        <f>H61</f>
        <v>3405.482352940773</v>
      </c>
      <c r="G118" s="11"/>
    </row>
    <row r="119" spans="3:7" ht="12.75">
      <c r="C119" t="s">
        <v>65</v>
      </c>
      <c r="F119" s="11">
        <f>H72</f>
        <v>864</v>
      </c>
      <c r="G119" s="11"/>
    </row>
    <row r="120" spans="3:7" ht="12.75">
      <c r="C120" t="s">
        <v>66</v>
      </c>
      <c r="F120" s="11">
        <f>H74</f>
        <v>275.99999999999903</v>
      </c>
      <c r="G120" s="11"/>
    </row>
    <row r="121" spans="3:7" ht="12.75">
      <c r="C121" t="s">
        <v>67</v>
      </c>
      <c r="F121" s="11">
        <f>H77</f>
        <v>900</v>
      </c>
      <c r="G121" s="11"/>
    </row>
    <row r="122" spans="3:8" ht="12.75">
      <c r="C122" t="s">
        <v>90</v>
      </c>
      <c r="F122" s="11"/>
      <c r="G122" s="11">
        <v>20202.8</v>
      </c>
      <c r="H122" s="11"/>
    </row>
    <row r="123" spans="3:7" ht="12.75">
      <c r="C123" t="s">
        <v>68</v>
      </c>
      <c r="F123" s="11">
        <f>G122-F118</f>
        <v>16797.317647059226</v>
      </c>
      <c r="G123" s="11"/>
    </row>
    <row r="124" spans="3:7" ht="12.75">
      <c r="C124" t="s">
        <v>69</v>
      </c>
      <c r="F124" s="11"/>
      <c r="G124" s="11">
        <f>F119+F120</f>
        <v>1139.999999999999</v>
      </c>
    </row>
    <row r="125" spans="3:7" ht="12.75">
      <c r="C125" t="s">
        <v>70</v>
      </c>
      <c r="F125" s="11"/>
      <c r="G125" s="11">
        <v>844.8</v>
      </c>
    </row>
    <row r="126" spans="3:7" ht="12.75">
      <c r="C126" t="s">
        <v>71</v>
      </c>
      <c r="F126" s="11"/>
      <c r="G126" s="11">
        <v>55.2</v>
      </c>
    </row>
    <row r="127" spans="6:7" ht="13.5" thickBot="1">
      <c r="F127" s="19">
        <f>SUM(F118:F126)</f>
        <v>22242.8</v>
      </c>
      <c r="G127" s="19">
        <f>SUM(G122:G126)</f>
        <v>22242.8</v>
      </c>
    </row>
    <row r="128" spans="6:7" ht="13.5" thickTop="1">
      <c r="F128" s="11"/>
      <c r="G128" s="11"/>
    </row>
    <row r="129" spans="2:7" ht="12.75">
      <c r="B129">
        <v>5</v>
      </c>
      <c r="C129" t="s">
        <v>72</v>
      </c>
      <c r="F129" s="11">
        <f>SUM(G130:G132)</f>
        <v>3718400</v>
      </c>
      <c r="G129" s="11"/>
    </row>
    <row r="130" spans="3:9" ht="12.75">
      <c r="C130" t="s">
        <v>73</v>
      </c>
      <c r="F130" s="11"/>
      <c r="G130" s="11">
        <f>1000*500*6</f>
        <v>3000000</v>
      </c>
      <c r="H130" t="s">
        <v>88</v>
      </c>
      <c r="I130">
        <v>3000000</v>
      </c>
    </row>
    <row r="131" spans="3:8" ht="12.75">
      <c r="C131" t="s">
        <v>74</v>
      </c>
      <c r="F131" s="11"/>
      <c r="G131" s="11">
        <f>160000*2</f>
        <v>320000</v>
      </c>
      <c r="H131" t="s">
        <v>102</v>
      </c>
    </row>
    <row r="132" spans="3:7" ht="12.75">
      <c r="C132" t="s">
        <v>75</v>
      </c>
      <c r="F132" s="11"/>
      <c r="G132" s="11">
        <f>0.12*(G130+G131)</f>
        <v>398400</v>
      </c>
    </row>
    <row r="133" spans="6:7" ht="13.5" thickBot="1">
      <c r="F133" s="19">
        <f>SUM(F129:F132)</f>
        <v>3718400</v>
      </c>
      <c r="G133" s="19">
        <f>SUM(G130:G132)</f>
        <v>3718400</v>
      </c>
    </row>
    <row r="134" spans="6:7" ht="13.5" thickTop="1">
      <c r="F134" s="11"/>
      <c r="G134" s="11"/>
    </row>
    <row r="135" spans="2:7" ht="12.75">
      <c r="B135">
        <v>6</v>
      </c>
      <c r="C135" t="s">
        <v>76</v>
      </c>
      <c r="F135" s="11">
        <f>1000*G33</f>
        <v>2262819.176470588</v>
      </c>
      <c r="G135" s="11"/>
    </row>
    <row r="136" spans="3:7" ht="12.75">
      <c r="C136" t="s">
        <v>77</v>
      </c>
      <c r="F136" s="11">
        <f>160000*2</f>
        <v>320000</v>
      </c>
      <c r="G136" s="11"/>
    </row>
    <row r="137" spans="3:7" ht="12.75">
      <c r="C137" t="s">
        <v>78</v>
      </c>
      <c r="F137" s="11"/>
      <c r="G137" s="11">
        <f>F135</f>
        <v>2262819.176470588</v>
      </c>
    </row>
    <row r="138" spans="3:7" ht="12.75">
      <c r="C138" t="s">
        <v>79</v>
      </c>
      <c r="F138" s="11"/>
      <c r="G138" s="11">
        <f>F136</f>
        <v>320000</v>
      </c>
    </row>
    <row r="139" spans="6:7" ht="13.5" thickBot="1">
      <c r="F139" s="19">
        <f>SUM(F135:F138)</f>
        <v>2582819.176470588</v>
      </c>
      <c r="G139" s="19">
        <f>SUM(G135:G138)</f>
        <v>2582819.176470588</v>
      </c>
    </row>
    <row r="140" spans="6:7" ht="13.5" thickTop="1">
      <c r="F140" s="11"/>
      <c r="G140" s="11"/>
    </row>
    <row r="141" spans="2:7" ht="12.75">
      <c r="B141">
        <v>7</v>
      </c>
      <c r="C141" t="s">
        <v>80</v>
      </c>
      <c r="F141" s="11">
        <f>+G159</f>
        <v>181292.94</v>
      </c>
      <c r="G141" s="11"/>
    </row>
    <row r="142" spans="3:7" ht="12.75">
      <c r="C142" t="s">
        <v>61</v>
      </c>
      <c r="F142" s="11"/>
      <c r="G142" s="11">
        <f>F141</f>
        <v>181292.94</v>
      </c>
    </row>
    <row r="143" spans="6:7" ht="13.5" thickBot="1">
      <c r="F143" s="19">
        <f>+F141</f>
        <v>181292.94</v>
      </c>
      <c r="G143" s="19">
        <f>+G142</f>
        <v>181292.94</v>
      </c>
    </row>
    <row r="144" ht="13.5" thickTop="1"/>
    <row r="145" ht="12.75">
      <c r="C145" t="s">
        <v>93</v>
      </c>
    </row>
    <row r="146" ht="12.75">
      <c r="C146" t="s">
        <v>81</v>
      </c>
    </row>
    <row r="147" ht="12.75">
      <c r="C147" t="s">
        <v>103</v>
      </c>
    </row>
    <row r="149" spans="3:7" ht="12.75">
      <c r="C149" t="s">
        <v>82</v>
      </c>
      <c r="G149" s="11">
        <f>G130+G131</f>
        <v>3320000</v>
      </c>
    </row>
    <row r="150" spans="3:5" ht="12.75">
      <c r="C150" t="s">
        <v>83</v>
      </c>
      <c r="E150" s="11">
        <f>G130</f>
        <v>3000000</v>
      </c>
    </row>
    <row r="151" spans="3:5" ht="12.75">
      <c r="C151" t="s">
        <v>26</v>
      </c>
      <c r="E151" s="12">
        <f>G131</f>
        <v>320000</v>
      </c>
    </row>
    <row r="153" spans="3:7" ht="12.75">
      <c r="C153" t="s">
        <v>84</v>
      </c>
      <c r="G153" s="11">
        <f>-E154-E155</f>
        <v>-2582819.176470588</v>
      </c>
    </row>
    <row r="154" spans="3:5" ht="12.75">
      <c r="C154" t="s">
        <v>83</v>
      </c>
      <c r="E154" s="11">
        <f>F135</f>
        <v>2262819.176470588</v>
      </c>
    </row>
    <row r="155" spans="3:7" ht="12.75">
      <c r="C155" t="s">
        <v>26</v>
      </c>
      <c r="E155" s="12">
        <f>F136</f>
        <v>320000</v>
      </c>
      <c r="G155" s="9"/>
    </row>
    <row r="156" spans="3:7" ht="12.75">
      <c r="C156" t="s">
        <v>85</v>
      </c>
      <c r="G156" s="11">
        <f>SUM(G149:G155)</f>
        <v>737180.823529412</v>
      </c>
    </row>
    <row r="157" spans="3:7" ht="12.75">
      <c r="C157" t="s">
        <v>89</v>
      </c>
      <c r="G157" s="12">
        <f>H81</f>
        <v>14812.52</v>
      </c>
    </row>
    <row r="158" spans="3:7" ht="12.75">
      <c r="C158" t="s">
        <v>86</v>
      </c>
      <c r="G158" s="11">
        <f>G156+G157</f>
        <v>751993.343529412</v>
      </c>
    </row>
    <row r="159" spans="3:7" ht="12.75">
      <c r="C159" t="s">
        <v>80</v>
      </c>
      <c r="G159" s="11">
        <v>181292.94</v>
      </c>
    </row>
    <row r="160" spans="3:7" ht="13.5" thickBot="1">
      <c r="C160" t="s">
        <v>87</v>
      </c>
      <c r="G160" s="19">
        <f>G158-G159</f>
        <v>570700.4035294121</v>
      </c>
    </row>
    <row r="161" ht="13.5" thickTop="1"/>
  </sheetData>
  <sheetProtection/>
  <printOptions/>
  <pageMargins left="0.75" right="0.75" top="0.4" bottom="0.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Aceros de Guatemala,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agafad04</dc:creator>
  <cp:keywords/>
  <dc:description/>
  <cp:lastModifiedBy>BEBA</cp:lastModifiedBy>
  <cp:lastPrinted>2014-08-31T07:38:07Z</cp:lastPrinted>
  <dcterms:created xsi:type="dcterms:W3CDTF">2008-07-29T16:10:06Z</dcterms:created>
  <dcterms:modified xsi:type="dcterms:W3CDTF">2014-08-31T07:39:59Z</dcterms:modified>
  <cp:category/>
  <cp:version/>
  <cp:contentType/>
  <cp:contentStatus/>
</cp:coreProperties>
</file>