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Cedula elementos STD" sheetId="1" r:id="rId1"/>
    <sheet name="Cedula elementos REALES" sheetId="2" r:id="rId2"/>
    <sheet name="Hoja Tecnica de Costo STD" sheetId="3" r:id="rId3"/>
    <sheet name="Cedula de Variaciones" sheetId="4" r:id="rId4"/>
    <sheet name="Estado de Resultados" sheetId="5" r:id="rId5"/>
    <sheet name="Jornalizacion" sheetId="6" r:id="rId6"/>
  </sheets>
  <definedNames/>
  <calcPr fullCalcOnLoad="1"/>
</workbook>
</file>

<file path=xl/sharedStrings.xml><?xml version="1.0" encoding="utf-8"?>
<sst xmlns="http://schemas.openxmlformats.org/spreadsheetml/2006/main" count="284" uniqueCount="184">
  <si>
    <t>Elemento</t>
  </si>
  <si>
    <t>Unidad de
medida</t>
  </si>
  <si>
    <t>Costo Q.</t>
  </si>
  <si>
    <t>Tamaño
grande</t>
  </si>
  <si>
    <t>tamaño
pequeño</t>
  </si>
  <si>
    <t>Celulosa</t>
  </si>
  <si>
    <t>quintal</t>
  </si>
  <si>
    <t>8 onzas</t>
  </si>
  <si>
    <t>4onzas</t>
  </si>
  <si>
    <t>Pegamento</t>
  </si>
  <si>
    <t>4 onzas</t>
  </si>
  <si>
    <t>2 onzas</t>
  </si>
  <si>
    <t>Colorante</t>
  </si>
  <si>
    <t>Kilo</t>
  </si>
  <si>
    <t>200 gms.</t>
  </si>
  <si>
    <t>100 gms</t>
  </si>
  <si>
    <t>Cedula de Elementos Standard</t>
  </si>
  <si>
    <t>Dias Laborados</t>
  </si>
  <si>
    <t>jornadas</t>
  </si>
  <si>
    <t>Horas</t>
  </si>
  <si>
    <t>Obreros</t>
  </si>
  <si>
    <t>en cada turno</t>
  </si>
  <si>
    <t>Horas Fabrica</t>
  </si>
  <si>
    <t>X</t>
  </si>
  <si>
    <t xml:space="preserve"> =</t>
  </si>
  <si>
    <t>Horas Hombre:</t>
  </si>
  <si>
    <t>Producccion:</t>
  </si>
  <si>
    <t>Mano de obra :</t>
  </si>
  <si>
    <t>Totales</t>
  </si>
  <si>
    <t>Gastos de Fabricacion:</t>
  </si>
  <si>
    <t>Tiempo Necesario de Produccion</t>
  </si>
  <si>
    <t>Horas Hombre</t>
  </si>
  <si>
    <t>HH</t>
  </si>
  <si>
    <t>Produccion estimada</t>
  </si>
  <si>
    <t>Costo Hora Hombre Mano de Obra (C.H.H.M.O)</t>
  </si>
  <si>
    <t>Mano de obra pagada</t>
  </si>
  <si>
    <t>Horas hombre</t>
  </si>
  <si>
    <t>Costo Hora Hombre Gastos de Fabrica (C.H.H.G.F)</t>
  </si>
  <si>
    <t>Gastos de Fabrica estimados</t>
  </si>
  <si>
    <t>Rollo pequeño</t>
  </si>
  <si>
    <t>Rollo Grande</t>
  </si>
  <si>
    <t>Total salarios Mensuales</t>
  </si>
  <si>
    <t>Meses del año</t>
  </si>
  <si>
    <t>Total Mano de obra annual</t>
  </si>
  <si>
    <t>Presupuestados</t>
  </si>
  <si>
    <t>Gastos de Fabricacion</t>
  </si>
  <si>
    <t>Rollo</t>
  </si>
  <si>
    <t>pequeño</t>
  </si>
  <si>
    <t>Grande</t>
  </si>
  <si>
    <t>Producccion REAL</t>
  </si>
  <si>
    <t>Rollo de tape pequeño</t>
  </si>
  <si>
    <t>Totalmente terminados</t>
  </si>
  <si>
    <t>En Proceso</t>
  </si>
  <si>
    <t>a un</t>
  </si>
  <si>
    <t>de su CC</t>
  </si>
  <si>
    <t>Total para MP</t>
  </si>
  <si>
    <t>Total para MO y GF</t>
  </si>
  <si>
    <t>Rollo de tape Grande</t>
  </si>
  <si>
    <t>Total Mano de obra pagada</t>
  </si>
  <si>
    <t>Pagados en el mes</t>
  </si>
  <si>
    <t>Elementos</t>
  </si>
  <si>
    <t>Unidad de 
Medida</t>
  </si>
  <si>
    <t>Costo Total</t>
  </si>
  <si>
    <t>Total Materia Prima</t>
  </si>
  <si>
    <t>I. MATERIA PRIMA</t>
  </si>
  <si>
    <t xml:space="preserve">Celulosa </t>
  </si>
  <si>
    <t>Quintal</t>
  </si>
  <si>
    <t>quintal equivale a libras</t>
  </si>
  <si>
    <t>Total onzas que tiene la libra</t>
  </si>
  <si>
    <t>Total onzas del quintal</t>
  </si>
  <si>
    <t>Total equivalente Tamaño gde.</t>
  </si>
  <si>
    <t>Total equivalente Tamaño pequeño</t>
  </si>
  <si>
    <t>kilogramo</t>
  </si>
  <si>
    <t>Un kilo equivale a gramos</t>
  </si>
  <si>
    <t>II. MANO DE OBRA</t>
  </si>
  <si>
    <t>III. GASTOS DE FABRICACION</t>
  </si>
  <si>
    <t>CEDULA DE VARIACIONES</t>
  </si>
  <si>
    <t xml:space="preserve">MES DE JULIO </t>
  </si>
  <si>
    <t>Variaciones</t>
  </si>
  <si>
    <t>Costo
 Standar</t>
  </si>
  <si>
    <t>Compras
Consumo
Tiempo Real</t>
  </si>
  <si>
    <t>Materia Prima</t>
  </si>
  <si>
    <t>A.) En Cantidad</t>
  </si>
  <si>
    <t>Mano de Obra</t>
  </si>
  <si>
    <t>Total Variaciones en Mano de obra</t>
  </si>
  <si>
    <t>Total Variaciones en Gastos de Fabricacion</t>
  </si>
  <si>
    <t>Total Variaciones</t>
  </si>
  <si>
    <t>Tamaño grande</t>
  </si>
  <si>
    <t>y para proceso</t>
  </si>
  <si>
    <t>Tamaño pequeño</t>
  </si>
  <si>
    <t xml:space="preserve">Total para MP </t>
  </si>
  <si>
    <t>Estado de Resultados</t>
  </si>
  <si>
    <t>(Cifras en Quetzales)</t>
  </si>
  <si>
    <t xml:space="preserve">Julio </t>
  </si>
  <si>
    <t>%</t>
  </si>
  <si>
    <t>Ventas</t>
  </si>
  <si>
    <t>Costo de Ventas</t>
  </si>
  <si>
    <t xml:space="preserve"> (+/-) Variaciones</t>
  </si>
  <si>
    <t>Variacion Desfavorable en Cantidad de Materia Prima</t>
  </si>
  <si>
    <t>Gastos de Operacion</t>
  </si>
  <si>
    <t>Resultado de Operacion</t>
  </si>
  <si>
    <t>P#1</t>
  </si>
  <si>
    <t>Materia Prima en Proceso</t>
  </si>
  <si>
    <t>Mano de Obra en Proceso</t>
  </si>
  <si>
    <t>Gastos de Fabricacion en proceso</t>
  </si>
  <si>
    <t>Almacen de Materia Prima</t>
  </si>
  <si>
    <t>Caja y Bancos</t>
  </si>
  <si>
    <t>Cuentas varias</t>
  </si>
  <si>
    <t>para registrar los gastos reales durante el mes</t>
  </si>
  <si>
    <t>P#2</t>
  </si>
  <si>
    <t>Almacen de Producto Terminado</t>
  </si>
  <si>
    <t>Materia prima en proceso</t>
  </si>
  <si>
    <t>Mano de obra en proceso</t>
  </si>
  <si>
    <t>para registrar la produccion terminada del periodo</t>
  </si>
  <si>
    <t>P#3</t>
  </si>
  <si>
    <t>inventario de Producto en Proceso</t>
  </si>
  <si>
    <t>materia Prima en Proceso</t>
  </si>
  <si>
    <t>Gastos de fabricacion en proceso</t>
  </si>
  <si>
    <t>para registrar la produccion que se encuentra en proceso a un 55% de su costo de conversion</t>
  </si>
  <si>
    <t>P#4</t>
  </si>
  <si>
    <t>Cuentas Por Cobrar</t>
  </si>
  <si>
    <t>IVA por pagar</t>
  </si>
  <si>
    <t>Para registrar las ventas de producto durante el mes</t>
  </si>
  <si>
    <t>P#5</t>
  </si>
  <si>
    <t>Inventario de Producto Terminado</t>
  </si>
  <si>
    <t>para registrar el costo de ventas del periodo</t>
  </si>
  <si>
    <t>P#6</t>
  </si>
  <si>
    <t>Registro de las Variaciones del Estandar del mes de julio</t>
  </si>
  <si>
    <t>P#7</t>
  </si>
  <si>
    <t>Registro de los gastos de operacion del mes de julio</t>
  </si>
  <si>
    <t>Variacion desfavorable en cantidad de materia prima</t>
  </si>
  <si>
    <t>Variacion desfavorable en cantidad de gastos de fabricacion</t>
  </si>
  <si>
    <t>Bonificación anual</t>
  </si>
  <si>
    <t>Salarios anuales</t>
  </si>
  <si>
    <t>LA RUEDA</t>
  </si>
  <si>
    <t>Salario por obrero</t>
  </si>
  <si>
    <t>Bonificación</t>
  </si>
  <si>
    <t>Total salarios mensuales</t>
  </si>
  <si>
    <t>Mano de obra estimada</t>
  </si>
  <si>
    <t>unidad</t>
  </si>
  <si>
    <t>libras</t>
  </si>
  <si>
    <t>onzas</t>
  </si>
  <si>
    <t>Cantidad estándar</t>
  </si>
  <si>
    <t>Pequeño</t>
  </si>
  <si>
    <t xml:space="preserve">Costo
Unitario </t>
  </si>
  <si>
    <t>kilo</t>
  </si>
  <si>
    <t>gramos</t>
  </si>
  <si>
    <t>COSTO ESTÁNDAR DE PRODUCCIÓN DE UN ROLLO DE CADA PRESENTACIÓN</t>
  </si>
  <si>
    <t>Hoja Técnica del Costo Estándar de Producción de un ROLLO DE TAPE GRANDE Y PEQUEÑO</t>
  </si>
  <si>
    <t>Estándar</t>
  </si>
  <si>
    <t>Estándar total</t>
  </si>
  <si>
    <t>Real total</t>
  </si>
  <si>
    <t>Produc. Base</t>
  </si>
  <si>
    <t>Difer.</t>
  </si>
  <si>
    <t>Desf.</t>
  </si>
  <si>
    <t>Fav.</t>
  </si>
  <si>
    <t>Total Variacion desfavorable en Cantidad de Materia Prima</t>
  </si>
  <si>
    <t>Total Variacion en costo de materia Prima</t>
  </si>
  <si>
    <t>B.) En Costo</t>
  </si>
  <si>
    <t>Bolsas de empaque</t>
  </si>
  <si>
    <t>Variación neta desfavorable en costo de materia prima</t>
  </si>
  <si>
    <t>Empaque rollo pequeño</t>
  </si>
  <si>
    <t>Empaque rollo grande</t>
  </si>
  <si>
    <t>Del 1 al 31 de julio de 2014</t>
  </si>
  <si>
    <t>(35000 rollos de tape grande a Q.12.05)</t>
  </si>
  <si>
    <t>(35000 rollos de tape grande a Q.24.10)</t>
  </si>
  <si>
    <t>Variacion Desfavorable en costo de materia prima</t>
  </si>
  <si>
    <t>Variacion Desfavorable en costo de mano de obra</t>
  </si>
  <si>
    <t>Variacion favorable en costo de Gastos de fabrica</t>
  </si>
  <si>
    <t>Variacion favorable en Cantidad de Gastos de Fabricacion</t>
  </si>
  <si>
    <t>Variacion favorable en cantidad de mano de obra</t>
  </si>
  <si>
    <t>Ganancia bruta real</t>
  </si>
  <si>
    <t>Ganancia Bruta estándar</t>
  </si>
  <si>
    <t>(25000 rollos de tape pequeño a Q.12.84)</t>
  </si>
  <si>
    <t>(25000 rollos de tape pequeño a Q.6.42)</t>
  </si>
  <si>
    <t>Variacion desfavorable en costo de materia prima</t>
  </si>
  <si>
    <t>Variacion desfavorable en costo de mano de obra</t>
  </si>
  <si>
    <t>Variacion desfavorable en costo de gastos de fabricacion</t>
  </si>
  <si>
    <t>Variacion desfavorable en cantidad de mano de obra</t>
  </si>
  <si>
    <t>Gastos de fabricación en proceso</t>
  </si>
  <si>
    <t>( 28600 rollos tamaño grande a Q.12.05)</t>
  </si>
  <si>
    <t>( 39500 rollos tamaño grande a Q.6.42)</t>
  </si>
  <si>
    <t>consumo</t>
  </si>
  <si>
    <t>costo unit</t>
  </si>
</sst>
</file>

<file path=xl/styles.xml><?xml version="1.0" encoding="utf-8"?>
<styleSheet xmlns="http://schemas.openxmlformats.org/spreadsheetml/2006/main">
  <numFmts count="3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??/16"/>
    <numFmt numFmtId="173" formatCode="&quot;Q&quot;.\ \ \ \ \ 0.00"/>
    <numFmt numFmtId="174" formatCode="&quot;Q&quot;.\ \ \ \ ##.00"/>
    <numFmt numFmtId="175" formatCode="&quot;Q&quot;\ \ ##.00"/>
    <numFmt numFmtId="176" formatCode="&quot;Q&quot;\ \ #,###.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0.0"/>
    <numFmt numFmtId="186" formatCode="0.000"/>
    <numFmt numFmtId="187" formatCode="0.0%"/>
    <numFmt numFmtId="188" formatCode="#,##0.0_);[Red]\(#,##0.0\)"/>
    <numFmt numFmtId="189" formatCode="_(* #,##0.00000_);_(* \(#,##0.00000\);_(* &quot;-&quot;?????_);_(@_)"/>
    <numFmt numFmtId="190" formatCode="0.00000"/>
    <numFmt numFmtId="191" formatCode="0.000%"/>
    <numFmt numFmtId="192" formatCode="0.0000%"/>
    <numFmt numFmtId="193" formatCode="_(&quot;Q&quot;* #,##0.000_);_(&quot;Q&quot;* \(#,##0.000\);_(&quot;Q&quot;* &quot;-&quot;??_);_(@_)"/>
    <numFmt numFmtId="194" formatCode="_(&quot;Q&quot;* #,##0.0000_);_(&quot;Q&quot;* \(#,##0.0000\);_(&quot;Q&quot;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Georgia"/>
      <family val="1"/>
    </font>
    <font>
      <b/>
      <i/>
      <u val="single"/>
      <sz val="12"/>
      <name val="Georgia"/>
      <family val="1"/>
    </font>
    <font>
      <u val="single"/>
      <sz val="10"/>
      <name val="Arial"/>
      <family val="2"/>
    </font>
    <font>
      <b/>
      <i/>
      <u val="single"/>
      <sz val="12"/>
      <name val="Bookman Old Style"/>
      <family val="1"/>
    </font>
    <font>
      <sz val="10"/>
      <color indexed="9"/>
      <name val="Arial"/>
      <family val="2"/>
    </font>
    <font>
      <b/>
      <u val="single"/>
      <sz val="10"/>
      <name val="Bookman Old Style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9"/>
      <name val="Georgia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46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0" xfId="46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6" xfId="46" applyBorder="1" applyAlignment="1">
      <alignment/>
    </xf>
    <xf numFmtId="0" fontId="0" fillId="0" borderId="17" xfId="0" applyBorder="1" applyAlignment="1">
      <alignment/>
    </xf>
    <xf numFmtId="43" fontId="0" fillId="0" borderId="0" xfId="46" applyBorder="1" applyAlignment="1">
      <alignment horizontal="center"/>
    </xf>
    <xf numFmtId="43" fontId="0" fillId="0" borderId="0" xfId="46" applyFont="1" applyBorder="1" applyAlignment="1">
      <alignment horizontal="center"/>
    </xf>
    <xf numFmtId="43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43" fontId="0" fillId="0" borderId="13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43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46" applyNumberFormat="1" applyBorder="1" applyAlignment="1">
      <alignment/>
    </xf>
    <xf numFmtId="0" fontId="2" fillId="0" borderId="0" xfId="0" applyFont="1" applyBorder="1" applyAlignment="1">
      <alignment/>
    </xf>
    <xf numFmtId="43" fontId="0" fillId="0" borderId="0" xfId="46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3" fontId="0" fillId="0" borderId="19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43" fontId="0" fillId="0" borderId="0" xfId="46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46" applyNumberFormat="1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8" fontId="0" fillId="0" borderId="19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43" fontId="1" fillId="0" borderId="0" xfId="46" applyFont="1" applyBorder="1" applyAlignment="1">
      <alignment/>
    </xf>
    <xf numFmtId="0" fontId="0" fillId="0" borderId="22" xfId="0" applyBorder="1" applyAlignment="1">
      <alignment/>
    </xf>
    <xf numFmtId="179" fontId="0" fillId="0" borderId="20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8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3" fontId="0" fillId="0" borderId="19" xfId="46" applyBorder="1" applyAlignment="1">
      <alignment/>
    </xf>
    <xf numFmtId="178" fontId="0" fillId="0" borderId="19" xfId="46" applyNumberFormat="1" applyBorder="1" applyAlignment="1">
      <alignment/>
    </xf>
    <xf numFmtId="43" fontId="0" fillId="0" borderId="21" xfId="46" applyBorder="1" applyAlignment="1">
      <alignment/>
    </xf>
    <xf numFmtId="43" fontId="1" fillId="0" borderId="19" xfId="46" applyFont="1" applyBorder="1" applyAlignment="1">
      <alignment/>
    </xf>
    <xf numFmtId="43" fontId="0" fillId="0" borderId="19" xfId="46" applyNumberFormat="1" applyBorder="1" applyAlignment="1">
      <alignment/>
    </xf>
    <xf numFmtId="177" fontId="0" fillId="0" borderId="19" xfId="46" applyNumberFormat="1" applyBorder="1" applyAlignment="1">
      <alignment/>
    </xf>
    <xf numFmtId="179" fontId="0" fillId="0" borderId="19" xfId="46" applyNumberFormat="1" applyBorder="1" applyAlignment="1">
      <alignment/>
    </xf>
    <xf numFmtId="43" fontId="0" fillId="0" borderId="21" xfId="46" applyNumberFormat="1" applyBorder="1" applyAlignment="1">
      <alignment/>
    </xf>
    <xf numFmtId="43" fontId="1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43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43" fontId="1" fillId="0" borderId="11" xfId="46" applyFont="1" applyBorder="1" applyAlignment="1">
      <alignment/>
    </xf>
    <xf numFmtId="43" fontId="1" fillId="0" borderId="24" xfId="0" applyNumberFormat="1" applyFont="1" applyBorder="1" applyAlignment="1">
      <alignment/>
    </xf>
    <xf numFmtId="43" fontId="1" fillId="0" borderId="25" xfId="0" applyNumberFormat="1" applyFont="1" applyBorder="1" applyAlignment="1">
      <alignment/>
    </xf>
    <xf numFmtId="43" fontId="5" fillId="0" borderId="0" xfId="46" applyFont="1" applyBorder="1" applyAlignment="1">
      <alignment horizontal="center"/>
    </xf>
    <xf numFmtId="0" fontId="9" fillId="0" borderId="19" xfId="0" applyFont="1" applyBorder="1" applyAlignment="1">
      <alignment/>
    </xf>
    <xf numFmtId="17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0" fillId="0" borderId="0" xfId="0" applyNumberFormat="1" applyAlignment="1">
      <alignment/>
    </xf>
    <xf numFmtId="40" fontId="0" fillId="0" borderId="0" xfId="46" applyNumberFormat="1" applyAlignment="1">
      <alignment/>
    </xf>
    <xf numFmtId="9" fontId="0" fillId="0" borderId="0" xfId="52" applyNumberFormat="1" applyAlignment="1">
      <alignment/>
    </xf>
    <xf numFmtId="40" fontId="0" fillId="0" borderId="0" xfId="0" applyNumberFormat="1" applyAlignment="1">
      <alignment/>
    </xf>
    <xf numFmtId="40" fontId="0" fillId="0" borderId="13" xfId="46" applyNumberFormat="1" applyBorder="1" applyAlignment="1">
      <alignment/>
    </xf>
    <xf numFmtId="9" fontId="0" fillId="0" borderId="13" xfId="52" applyNumberFormat="1" applyBorder="1" applyAlignment="1">
      <alignment/>
    </xf>
    <xf numFmtId="40" fontId="1" fillId="0" borderId="0" xfId="0" applyNumberFormat="1" applyFont="1" applyAlignment="1">
      <alignment/>
    </xf>
    <xf numFmtId="9" fontId="1" fillId="0" borderId="0" xfId="52" applyNumberFormat="1" applyFont="1" applyAlignment="1">
      <alignment/>
    </xf>
    <xf numFmtId="0" fontId="9" fillId="0" borderId="0" xfId="0" applyFont="1" applyAlignment="1">
      <alignment/>
    </xf>
    <xf numFmtId="40" fontId="0" fillId="0" borderId="13" xfId="0" applyNumberFormat="1" applyBorder="1" applyAlignment="1">
      <alignment/>
    </xf>
    <xf numFmtId="40" fontId="0" fillId="0" borderId="26" xfId="0" applyNumberFormat="1" applyBorder="1" applyAlignment="1">
      <alignment/>
    </xf>
    <xf numFmtId="9" fontId="0" fillId="0" borderId="26" xfId="52" applyNumberFormat="1" applyBorder="1" applyAlignment="1">
      <alignment/>
    </xf>
    <xf numFmtId="43" fontId="0" fillId="0" borderId="0" xfId="46" applyAlignment="1">
      <alignment/>
    </xf>
    <xf numFmtId="43" fontId="0" fillId="0" borderId="27" xfId="0" applyNumberFormat="1" applyBorder="1" applyAlignment="1">
      <alignment/>
    </xf>
    <xf numFmtId="43" fontId="0" fillId="0" borderId="27" xfId="46" applyBorder="1" applyAlignment="1">
      <alignment/>
    </xf>
    <xf numFmtId="183" fontId="0" fillId="0" borderId="0" xfId="46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1" xfId="46" applyNumberFormat="1" applyBorder="1" applyAlignment="1">
      <alignment/>
    </xf>
    <xf numFmtId="183" fontId="0" fillId="0" borderId="14" xfId="46" applyNumberFormat="1" applyBorder="1" applyAlignment="1">
      <alignment/>
    </xf>
    <xf numFmtId="183" fontId="0" fillId="0" borderId="17" xfId="46" applyNumberFormat="1" applyBorder="1" applyAlignment="1">
      <alignment/>
    </xf>
    <xf numFmtId="183" fontId="0" fillId="0" borderId="13" xfId="46" applyNumberFormat="1" applyBorder="1" applyAlignment="1">
      <alignment/>
    </xf>
    <xf numFmtId="183" fontId="0" fillId="0" borderId="16" xfId="46" applyNumberFormat="1" applyBorder="1" applyAlignment="1">
      <alignment/>
    </xf>
    <xf numFmtId="44" fontId="0" fillId="0" borderId="11" xfId="46" applyNumberFormat="1" applyFont="1" applyBorder="1" applyAlignment="1">
      <alignment/>
    </xf>
    <xf numFmtId="44" fontId="0" fillId="0" borderId="14" xfId="46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0" xfId="0" applyNumberFormat="1" applyBorder="1" applyAlignment="1">
      <alignment/>
    </xf>
    <xf numFmtId="44" fontId="0" fillId="0" borderId="13" xfId="0" applyNumberFormat="1" applyBorder="1" applyAlignment="1">
      <alignment/>
    </xf>
    <xf numFmtId="183" fontId="0" fillId="0" borderId="16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7" fontId="0" fillId="0" borderId="19" xfId="0" applyNumberFormat="1" applyBorder="1" applyAlignment="1">
      <alignment/>
    </xf>
    <xf numFmtId="183" fontId="0" fillId="0" borderId="0" xfId="46" applyNumberFormat="1" applyFont="1" applyAlignment="1">
      <alignment horizontal="center"/>
    </xf>
    <xf numFmtId="183" fontId="0" fillId="0" borderId="0" xfId="46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1" fillId="7" borderId="12" xfId="0" applyFont="1" applyFill="1" applyBorder="1" applyAlignment="1">
      <alignment/>
    </xf>
    <xf numFmtId="0" fontId="12" fillId="7" borderId="13" xfId="0" applyFont="1" applyFill="1" applyBorder="1" applyAlignment="1">
      <alignment/>
    </xf>
    <xf numFmtId="0" fontId="12" fillId="7" borderId="14" xfId="0" applyFont="1" applyFill="1" applyBorder="1" applyAlignment="1">
      <alignment/>
    </xf>
    <xf numFmtId="0" fontId="10" fillId="7" borderId="23" xfId="0" applyFont="1" applyFill="1" applyBorder="1" applyAlignment="1">
      <alignment horizontal="center" wrapText="1"/>
    </xf>
    <xf numFmtId="0" fontId="10" fillId="7" borderId="14" xfId="0" applyFont="1" applyFill="1" applyBorder="1" applyAlignment="1">
      <alignment horizontal="center" wrapText="1"/>
    </xf>
    <xf numFmtId="43" fontId="0" fillId="0" borderId="0" xfId="0" applyNumberForma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center"/>
    </xf>
    <xf numFmtId="43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13" fillId="24" borderId="23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183" fontId="0" fillId="0" borderId="19" xfId="0" applyNumberFormat="1" applyBorder="1" applyAlignment="1">
      <alignment horizontal="center"/>
    </xf>
    <xf numFmtId="183" fontId="0" fillId="0" borderId="19" xfId="0" applyNumberFormat="1" applyBorder="1" applyAlignment="1">
      <alignment/>
    </xf>
    <xf numFmtId="190" fontId="0" fillId="0" borderId="0" xfId="0" applyNumberFormat="1" applyAlignment="1">
      <alignment/>
    </xf>
    <xf numFmtId="10" fontId="0" fillId="0" borderId="0" xfId="52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27" xfId="46" applyBorder="1" applyAlignment="1">
      <alignment/>
    </xf>
    <xf numFmtId="43" fontId="0" fillId="0" borderId="0" xfId="46" applyAlignment="1">
      <alignment/>
    </xf>
    <xf numFmtId="43" fontId="0" fillId="0" borderId="0" xfId="46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 wrapText="1"/>
    </xf>
    <xf numFmtId="0" fontId="10" fillId="7" borderId="21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39</xdr:row>
      <xdr:rowOff>9525</xdr:rowOff>
    </xdr:from>
    <xdr:to>
      <xdr:col>1</xdr:col>
      <xdr:colOff>733425</xdr:colOff>
      <xdr:row>41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81050" y="6381750"/>
          <a:ext cx="476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43</xdr:row>
      <xdr:rowOff>9525</xdr:rowOff>
    </xdr:from>
    <xdr:to>
      <xdr:col>1</xdr:col>
      <xdr:colOff>733425</xdr:colOff>
      <xdr:row>45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781050" y="7029450"/>
          <a:ext cx="476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">
      <selection activeCell="C4" sqref="C4"/>
    </sheetView>
  </sheetViews>
  <sheetFormatPr defaultColWidth="11.421875" defaultRowHeight="12.75"/>
  <cols>
    <col min="1" max="1" width="1.421875" style="0" customWidth="1"/>
    <col min="5" max="5" width="3.140625" style="0" bestFit="1" customWidth="1"/>
    <col min="6" max="6" width="14.28125" style="0" bestFit="1" customWidth="1"/>
    <col min="7" max="7" width="4.00390625" style="0" customWidth="1"/>
    <col min="9" max="9" width="3.28125" style="0" customWidth="1"/>
    <col min="10" max="10" width="14.28125" style="0" bestFit="1" customWidth="1"/>
  </cols>
  <sheetData>
    <row r="1" spans="1:10" ht="15">
      <c r="A1" s="145" t="s">
        <v>134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ht="15">
      <c r="A2" s="148" t="s">
        <v>16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12.75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12.75">
      <c r="A4" s="7"/>
      <c r="B4" s="8"/>
      <c r="C4" s="8"/>
      <c r="D4" s="8"/>
      <c r="E4" s="8"/>
      <c r="F4" s="13"/>
      <c r="G4" s="8"/>
      <c r="H4" s="8"/>
      <c r="I4" s="8"/>
      <c r="J4" s="9"/>
    </row>
    <row r="5" spans="1:10" ht="12.75">
      <c r="A5" s="7"/>
      <c r="B5" s="14" t="s">
        <v>17</v>
      </c>
      <c r="C5" s="8"/>
      <c r="D5" s="8"/>
      <c r="E5" s="8"/>
      <c r="F5" s="97">
        <v>250</v>
      </c>
      <c r="G5" s="8"/>
      <c r="H5" s="8"/>
      <c r="I5" s="8"/>
      <c r="J5" s="9"/>
    </row>
    <row r="6" spans="1:10" ht="12.75">
      <c r="A6" s="15"/>
      <c r="B6" s="16"/>
      <c r="C6" s="16"/>
      <c r="D6" s="16"/>
      <c r="E6" s="16"/>
      <c r="F6" s="103"/>
      <c r="G6" s="16"/>
      <c r="H6" s="16"/>
      <c r="I6" s="16"/>
      <c r="J6" s="18"/>
    </row>
    <row r="7" spans="1:10" ht="12.75">
      <c r="A7" s="7"/>
      <c r="B7" s="14" t="s">
        <v>18</v>
      </c>
      <c r="C7" s="8"/>
      <c r="D7" s="8" t="s">
        <v>19</v>
      </c>
      <c r="E7" s="8"/>
      <c r="F7" s="97">
        <v>8</v>
      </c>
      <c r="G7" s="8"/>
      <c r="H7" s="8"/>
      <c r="I7" s="8"/>
      <c r="J7" s="9"/>
    </row>
    <row r="8" spans="1:10" ht="12.75">
      <c r="A8" s="7"/>
      <c r="B8" s="8"/>
      <c r="C8" s="8"/>
      <c r="D8" s="8" t="s">
        <v>19</v>
      </c>
      <c r="E8" s="8"/>
      <c r="F8" s="97">
        <v>6</v>
      </c>
      <c r="G8" s="8"/>
      <c r="H8" s="8"/>
      <c r="I8" s="8"/>
      <c r="J8" s="9"/>
    </row>
    <row r="9" spans="1:10" ht="12.75">
      <c r="A9" s="15"/>
      <c r="B9" s="16"/>
      <c r="C9" s="16"/>
      <c r="D9" s="16"/>
      <c r="E9" s="16"/>
      <c r="F9" s="103"/>
      <c r="G9" s="16"/>
      <c r="H9" s="16"/>
      <c r="I9" s="16"/>
      <c r="J9" s="18"/>
    </row>
    <row r="10" spans="1:10" ht="12.75">
      <c r="A10" s="7"/>
      <c r="B10" s="14" t="s">
        <v>20</v>
      </c>
      <c r="C10" s="8"/>
      <c r="D10" s="8"/>
      <c r="E10" s="8"/>
      <c r="F10" s="97">
        <v>15</v>
      </c>
      <c r="G10" s="8"/>
      <c r="H10" s="8" t="s">
        <v>21</v>
      </c>
      <c r="I10" s="8"/>
      <c r="J10" s="9"/>
    </row>
    <row r="11" spans="1:10" ht="12.75">
      <c r="A11" s="15"/>
      <c r="B11" s="16"/>
      <c r="C11" s="16"/>
      <c r="D11" s="16"/>
      <c r="E11" s="16"/>
      <c r="F11" s="17"/>
      <c r="G11" s="16"/>
      <c r="H11" s="16"/>
      <c r="I11" s="16"/>
      <c r="J11" s="18"/>
    </row>
    <row r="12" spans="1:10" ht="12.75">
      <c r="A12" s="7"/>
      <c r="B12" s="8"/>
      <c r="C12" s="8"/>
      <c r="D12" s="8"/>
      <c r="E12" s="8"/>
      <c r="F12" s="8"/>
      <c r="G12" s="8"/>
      <c r="H12" s="8"/>
      <c r="I12" s="8"/>
      <c r="J12" s="9"/>
    </row>
    <row r="13" spans="1:10" ht="12.75">
      <c r="A13" s="7"/>
      <c r="B13" s="14" t="s">
        <v>22</v>
      </c>
      <c r="C13" s="8"/>
      <c r="D13" s="97">
        <f>+F5</f>
        <v>250</v>
      </c>
      <c r="E13" s="19" t="s">
        <v>23</v>
      </c>
      <c r="F13" s="97">
        <f>+F7</f>
        <v>8</v>
      </c>
      <c r="G13" s="19" t="s">
        <v>24</v>
      </c>
      <c r="H13" s="97">
        <f>+D13*F13</f>
        <v>2000</v>
      </c>
      <c r="I13" s="13"/>
      <c r="J13" s="9"/>
    </row>
    <row r="14" spans="1:10" ht="12.75">
      <c r="A14" s="7"/>
      <c r="B14" s="8"/>
      <c r="C14" s="8"/>
      <c r="D14" s="97">
        <f>+F5</f>
        <v>250</v>
      </c>
      <c r="E14" s="19" t="s">
        <v>23</v>
      </c>
      <c r="F14" s="97">
        <f>+F8</f>
        <v>6</v>
      </c>
      <c r="G14" s="19" t="s">
        <v>24</v>
      </c>
      <c r="H14" s="102">
        <f>+D14*F14</f>
        <v>1500</v>
      </c>
      <c r="I14" s="13"/>
      <c r="J14" s="9"/>
    </row>
    <row r="15" spans="1:10" ht="12.75">
      <c r="A15" s="15"/>
      <c r="B15" s="16"/>
      <c r="C15" s="16"/>
      <c r="D15" s="17"/>
      <c r="E15" s="17"/>
      <c r="F15" s="17"/>
      <c r="G15" s="17"/>
      <c r="H15" s="103">
        <f>SUM(H13:H14)</f>
        <v>3500</v>
      </c>
      <c r="I15" s="17"/>
      <c r="J15" s="18"/>
    </row>
    <row r="16" spans="1:10" ht="12.75">
      <c r="A16" s="7"/>
      <c r="B16" s="8"/>
      <c r="C16" s="8"/>
      <c r="D16" s="13"/>
      <c r="E16" s="13"/>
      <c r="F16" s="13"/>
      <c r="G16" s="13"/>
      <c r="H16" s="13"/>
      <c r="I16" s="13"/>
      <c r="J16" s="9"/>
    </row>
    <row r="17" spans="1:10" ht="12.75">
      <c r="A17" s="7"/>
      <c r="B17" s="14" t="s">
        <v>25</v>
      </c>
      <c r="C17" s="8"/>
      <c r="D17" s="97">
        <f>+F5</f>
        <v>250</v>
      </c>
      <c r="E17" s="19" t="s">
        <v>23</v>
      </c>
      <c r="F17" s="97">
        <f>+F7</f>
        <v>8</v>
      </c>
      <c r="G17" s="19" t="s">
        <v>23</v>
      </c>
      <c r="H17" s="97">
        <f>+F10</f>
        <v>15</v>
      </c>
      <c r="I17" s="19" t="s">
        <v>24</v>
      </c>
      <c r="J17" s="99">
        <f>+D17*F17*H17</f>
        <v>30000</v>
      </c>
    </row>
    <row r="18" spans="1:10" ht="12.75">
      <c r="A18" s="7"/>
      <c r="B18" s="8"/>
      <c r="C18" s="8"/>
      <c r="D18" s="97">
        <f>+F5</f>
        <v>250</v>
      </c>
      <c r="E18" s="19" t="s">
        <v>23</v>
      </c>
      <c r="F18" s="97">
        <f>+F8</f>
        <v>6</v>
      </c>
      <c r="G18" s="19" t="s">
        <v>23</v>
      </c>
      <c r="H18" s="102">
        <f>+F10</f>
        <v>15</v>
      </c>
      <c r="I18" s="19" t="s">
        <v>24</v>
      </c>
      <c r="J18" s="100">
        <f>+D18*F18*H18</f>
        <v>22500</v>
      </c>
    </row>
    <row r="19" spans="1:10" ht="12.75">
      <c r="A19" s="15"/>
      <c r="B19" s="16"/>
      <c r="C19" s="16"/>
      <c r="D19" s="17"/>
      <c r="E19" s="17"/>
      <c r="F19" s="17"/>
      <c r="G19" s="17"/>
      <c r="H19" s="103">
        <f>SUM(H17:H18)</f>
        <v>30</v>
      </c>
      <c r="I19" s="17"/>
      <c r="J19" s="101">
        <f>SUM(J17:J18)</f>
        <v>52500</v>
      </c>
    </row>
    <row r="20" spans="1:10" ht="12.75">
      <c r="A20" s="7"/>
      <c r="B20" s="8"/>
      <c r="C20" s="8"/>
      <c r="D20" s="13"/>
      <c r="E20" s="13"/>
      <c r="F20" s="13"/>
      <c r="G20" s="13"/>
      <c r="H20" s="13"/>
      <c r="I20" s="13"/>
      <c r="J20" s="9"/>
    </row>
    <row r="21" spans="1:10" ht="12.75">
      <c r="A21" s="7"/>
      <c r="B21" s="14" t="s">
        <v>26</v>
      </c>
      <c r="C21" s="8"/>
      <c r="D21" s="13"/>
      <c r="E21" s="13"/>
      <c r="F21" s="13"/>
      <c r="G21" s="13"/>
      <c r="H21" s="13"/>
      <c r="I21" s="13"/>
      <c r="J21" s="9"/>
    </row>
    <row r="22" spans="1:10" ht="12.75">
      <c r="A22" s="7"/>
      <c r="B22" s="8" t="s">
        <v>39</v>
      </c>
      <c r="C22" s="8"/>
      <c r="D22" s="13"/>
      <c r="E22" s="13"/>
      <c r="F22" s="97">
        <v>250</v>
      </c>
      <c r="G22" s="20" t="s">
        <v>23</v>
      </c>
      <c r="H22" s="97">
        <f>+H$15</f>
        <v>3500</v>
      </c>
      <c r="I22" s="19" t="s">
        <v>24</v>
      </c>
      <c r="J22" s="98">
        <f>+F22*H22</f>
        <v>875000</v>
      </c>
    </row>
    <row r="23" spans="1:11" ht="12.75">
      <c r="A23" s="7"/>
      <c r="B23" s="8" t="s">
        <v>40</v>
      </c>
      <c r="C23" s="8"/>
      <c r="D23" s="13"/>
      <c r="E23" s="13"/>
      <c r="F23" s="97">
        <v>150</v>
      </c>
      <c r="G23" s="20" t="s">
        <v>23</v>
      </c>
      <c r="H23" s="97">
        <f>+H$15</f>
        <v>3500</v>
      </c>
      <c r="I23" s="19" t="s">
        <v>24</v>
      </c>
      <c r="J23" s="98">
        <f>+F23*H23</f>
        <v>525000</v>
      </c>
      <c r="K23" s="73"/>
    </row>
    <row r="24" spans="1:10" ht="12.75">
      <c r="A24" s="15"/>
      <c r="B24" s="16"/>
      <c r="C24" s="16"/>
      <c r="D24" s="17"/>
      <c r="E24" s="17"/>
      <c r="F24" s="17"/>
      <c r="G24" s="17"/>
      <c r="H24" s="17"/>
      <c r="I24" s="17"/>
      <c r="J24" s="18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7"/>
      <c r="B26" s="14" t="s">
        <v>27</v>
      </c>
      <c r="C26" s="8"/>
      <c r="D26" s="8"/>
      <c r="E26" s="8"/>
      <c r="F26" s="8"/>
      <c r="G26" s="8"/>
      <c r="H26" s="8"/>
      <c r="I26" s="8"/>
      <c r="J26" s="9"/>
    </row>
    <row r="27" spans="1:10" ht="12.75">
      <c r="A27" s="7"/>
      <c r="B27" s="8"/>
      <c r="C27" s="8"/>
      <c r="D27" s="8"/>
      <c r="E27" s="8"/>
      <c r="F27" s="22"/>
      <c r="G27" s="8"/>
      <c r="H27" s="8"/>
      <c r="I27" s="8"/>
      <c r="J27" s="9" t="s">
        <v>28</v>
      </c>
    </row>
    <row r="28" spans="1:12" ht="12.75">
      <c r="A28" s="7"/>
      <c r="B28" s="30" t="s">
        <v>41</v>
      </c>
      <c r="C28" s="8"/>
      <c r="D28" s="8"/>
      <c r="E28" s="8"/>
      <c r="F28" s="8"/>
      <c r="G28" s="8"/>
      <c r="H28" s="8"/>
      <c r="I28" s="8"/>
      <c r="J28" s="104">
        <v>66875</v>
      </c>
      <c r="L28" s="112"/>
    </row>
    <row r="29" spans="1:10" ht="12.75">
      <c r="A29" s="7"/>
      <c r="B29" s="30" t="s">
        <v>42</v>
      </c>
      <c r="C29" s="8"/>
      <c r="D29" s="8"/>
      <c r="E29" s="8"/>
      <c r="F29" s="8"/>
      <c r="G29" s="8"/>
      <c r="H29" s="8"/>
      <c r="I29" s="8"/>
      <c r="J29" s="98">
        <v>12</v>
      </c>
    </row>
    <row r="30" spans="1:12" ht="12.75">
      <c r="A30" s="7"/>
      <c r="B30" s="30" t="s">
        <v>133</v>
      </c>
      <c r="C30" s="8"/>
      <c r="D30" s="8"/>
      <c r="E30" s="8"/>
      <c r="F30" s="8"/>
      <c r="G30" s="8"/>
      <c r="H30" s="8"/>
      <c r="I30" s="8"/>
      <c r="J30" s="104">
        <f>+J28*J29</f>
        <v>802500</v>
      </c>
      <c r="L30" s="112"/>
    </row>
    <row r="31" spans="1:10" ht="12.75">
      <c r="A31" s="7"/>
      <c r="B31" s="30" t="s">
        <v>132</v>
      </c>
      <c r="C31" s="8"/>
      <c r="D31" s="24"/>
      <c r="E31" s="8"/>
      <c r="F31" s="25"/>
      <c r="G31" s="8"/>
      <c r="H31" s="8"/>
      <c r="I31" s="8"/>
      <c r="J31" s="105">
        <f>250*H19*J29</f>
        <v>90000</v>
      </c>
    </row>
    <row r="32" spans="1:10" ht="12.75">
      <c r="A32" s="7"/>
      <c r="B32" s="8" t="s">
        <v>43</v>
      </c>
      <c r="C32" s="8"/>
      <c r="D32" s="8"/>
      <c r="E32" s="8"/>
      <c r="F32" s="8"/>
      <c r="G32" s="8"/>
      <c r="H32" s="8"/>
      <c r="I32" s="8"/>
      <c r="J32" s="104">
        <f>+J30+J31</f>
        <v>892500</v>
      </c>
    </row>
    <row r="33" spans="1:10" ht="12.75">
      <c r="A33" s="15"/>
      <c r="B33" s="16"/>
      <c r="C33" s="16"/>
      <c r="D33" s="16"/>
      <c r="E33" s="16"/>
      <c r="F33" s="16"/>
      <c r="G33" s="16"/>
      <c r="H33" s="16"/>
      <c r="I33" s="16"/>
      <c r="J33" s="18"/>
    </row>
    <row r="34" spans="1:10" ht="12.75">
      <c r="A34" s="7"/>
      <c r="B34" s="14" t="s">
        <v>29</v>
      </c>
      <c r="C34" s="8"/>
      <c r="D34" s="8"/>
      <c r="E34" s="8"/>
      <c r="F34" s="8"/>
      <c r="G34" s="8"/>
      <c r="H34" s="8"/>
      <c r="I34" s="8"/>
      <c r="J34" s="9"/>
    </row>
    <row r="35" spans="1:10" ht="12.75">
      <c r="A35" s="7"/>
      <c r="B35" s="8" t="s">
        <v>44</v>
      </c>
      <c r="C35" s="8"/>
      <c r="D35" s="8"/>
      <c r="E35" s="8"/>
      <c r="F35" s="24"/>
      <c r="G35" s="8"/>
      <c r="H35" s="25"/>
      <c r="I35" s="8"/>
      <c r="J35" s="23">
        <v>1050000</v>
      </c>
    </row>
    <row r="36" spans="1:10" ht="12.75">
      <c r="A36" s="15"/>
      <c r="B36" s="16"/>
      <c r="C36" s="16"/>
      <c r="D36" s="16"/>
      <c r="E36" s="16"/>
      <c r="F36" s="16"/>
      <c r="G36" s="16"/>
      <c r="H36" s="16"/>
      <c r="I36" s="16"/>
      <c r="J36" s="18"/>
    </row>
    <row r="37" spans="1:10" ht="12.75">
      <c r="A37" s="7"/>
      <c r="B37" s="8"/>
      <c r="C37" s="8"/>
      <c r="D37" s="8"/>
      <c r="E37" s="8"/>
      <c r="F37" s="8"/>
      <c r="G37" s="8"/>
      <c r="H37" s="8"/>
      <c r="I37" s="8"/>
      <c r="J37" s="9"/>
    </row>
    <row r="38" spans="1:10" ht="12.75">
      <c r="A38" s="7"/>
      <c r="B38" s="14" t="s">
        <v>30</v>
      </c>
      <c r="C38" s="8"/>
      <c r="D38" s="8"/>
      <c r="E38" s="8"/>
      <c r="F38" s="8"/>
      <c r="G38" s="8"/>
      <c r="H38" s="8"/>
      <c r="I38" s="8"/>
      <c r="J38" s="9"/>
    </row>
    <row r="39" spans="1:10" ht="12.75">
      <c r="A39" s="7"/>
      <c r="B39" s="8"/>
      <c r="C39" s="8"/>
      <c r="D39" s="8"/>
      <c r="E39" s="8"/>
      <c r="F39" s="8"/>
      <c r="G39" s="8"/>
      <c r="H39" s="8"/>
      <c r="I39" s="8"/>
      <c r="J39" s="9"/>
    </row>
    <row r="40" spans="1:10" ht="12.75">
      <c r="A40" s="7"/>
      <c r="B40" s="14" t="s">
        <v>46</v>
      </c>
      <c r="C40" s="26" t="s">
        <v>31</v>
      </c>
      <c r="D40" s="8"/>
      <c r="E40" s="8"/>
      <c r="F40" s="106">
        <f>+J19</f>
        <v>52500</v>
      </c>
      <c r="G40" s="8"/>
      <c r="H40" s="28">
        <f>+F40/F41</f>
        <v>0.06</v>
      </c>
      <c r="I40" s="14" t="s">
        <v>32</v>
      </c>
      <c r="J40" s="9"/>
    </row>
    <row r="41" spans="1:10" ht="12.75">
      <c r="A41" s="7"/>
      <c r="B41" s="14" t="s">
        <v>47</v>
      </c>
      <c r="C41" s="8" t="s">
        <v>33</v>
      </c>
      <c r="D41" s="8"/>
      <c r="E41" s="8"/>
      <c r="F41" s="107">
        <f>+J22</f>
        <v>875000</v>
      </c>
      <c r="G41" s="8"/>
      <c r="H41" s="8"/>
      <c r="I41" s="8"/>
      <c r="J41" s="9"/>
    </row>
    <row r="42" spans="1:10" ht="12.75">
      <c r="A42" s="7"/>
      <c r="B42" s="8"/>
      <c r="C42" s="8"/>
      <c r="D42" s="8"/>
      <c r="E42" s="8"/>
      <c r="F42" s="25"/>
      <c r="G42" s="8"/>
      <c r="H42" s="8"/>
      <c r="I42" s="8"/>
      <c r="J42" s="9"/>
    </row>
    <row r="43" spans="1:10" ht="12.75">
      <c r="A43" s="7"/>
      <c r="B43" s="8"/>
      <c r="C43" s="8"/>
      <c r="D43" s="8"/>
      <c r="E43" s="8"/>
      <c r="F43" s="25"/>
      <c r="G43" s="8"/>
      <c r="H43" s="8"/>
      <c r="I43" s="8"/>
      <c r="J43" s="9"/>
    </row>
    <row r="44" spans="1:10" ht="12.75">
      <c r="A44" s="7"/>
      <c r="B44" s="14" t="s">
        <v>46</v>
      </c>
      <c r="C44" s="26" t="s">
        <v>31</v>
      </c>
      <c r="D44" s="8"/>
      <c r="E44" s="8"/>
      <c r="F44" s="106">
        <f>J19</f>
        <v>52500</v>
      </c>
      <c r="G44" s="8"/>
      <c r="H44" s="28">
        <f>+F44/F45</f>
        <v>0.1</v>
      </c>
      <c r="I44" s="14" t="s">
        <v>32</v>
      </c>
      <c r="J44" s="9"/>
    </row>
    <row r="45" spans="1:10" ht="12.75">
      <c r="A45" s="7"/>
      <c r="B45" s="31" t="s">
        <v>48</v>
      </c>
      <c r="C45" s="8" t="s">
        <v>33</v>
      </c>
      <c r="D45" s="8"/>
      <c r="E45" s="8"/>
      <c r="F45" s="107">
        <f>J23</f>
        <v>525000</v>
      </c>
      <c r="G45" s="8"/>
      <c r="H45" s="8"/>
      <c r="I45" s="8"/>
      <c r="J45" s="9"/>
    </row>
    <row r="46" spans="1:10" ht="12.75">
      <c r="A46" s="10"/>
      <c r="B46" s="11"/>
      <c r="C46" s="11"/>
      <c r="D46" s="11"/>
      <c r="E46" s="11"/>
      <c r="F46" s="27"/>
      <c r="G46" s="11"/>
      <c r="H46" s="11"/>
      <c r="I46" s="11"/>
      <c r="J46" s="12"/>
    </row>
    <row r="47" spans="1:10" ht="12.75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 ht="12.75">
      <c r="A48" s="7"/>
      <c r="B48" s="14" t="s">
        <v>34</v>
      </c>
      <c r="C48" s="8"/>
      <c r="D48" s="8"/>
      <c r="E48" s="8"/>
      <c r="F48" s="8"/>
      <c r="G48" s="8"/>
      <c r="H48" s="8"/>
      <c r="I48" s="8"/>
      <c r="J48" s="9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7"/>
      <c r="B50" s="8"/>
      <c r="C50" s="26" t="s">
        <v>138</v>
      </c>
      <c r="D50" s="8"/>
      <c r="E50" s="8"/>
      <c r="F50" s="108">
        <f>+J32</f>
        <v>892500</v>
      </c>
      <c r="G50" s="8"/>
      <c r="H50" s="28">
        <f>+F50/F51</f>
        <v>17</v>
      </c>
      <c r="I50" s="8"/>
      <c r="J50" s="9"/>
    </row>
    <row r="51" spans="1:10" ht="12.75">
      <c r="A51" s="15"/>
      <c r="B51" s="16"/>
      <c r="C51" s="16" t="s">
        <v>36</v>
      </c>
      <c r="D51" s="16"/>
      <c r="E51" s="16"/>
      <c r="F51" s="29">
        <f>+J19</f>
        <v>52500</v>
      </c>
      <c r="G51" s="16"/>
      <c r="H51" s="16"/>
      <c r="I51" s="16"/>
      <c r="J51" s="18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7"/>
      <c r="B53" s="14" t="s">
        <v>37</v>
      </c>
      <c r="C53" s="8"/>
      <c r="D53" s="8"/>
      <c r="E53" s="8"/>
      <c r="F53" s="8"/>
      <c r="G53" s="8"/>
      <c r="H53" s="8"/>
      <c r="I53" s="8"/>
      <c r="J53" s="9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7"/>
      <c r="B55" s="8"/>
      <c r="C55" s="26" t="s">
        <v>38</v>
      </c>
      <c r="D55" s="8"/>
      <c r="E55" s="8"/>
      <c r="F55" s="108">
        <f>+J35</f>
        <v>1050000</v>
      </c>
      <c r="G55" s="8"/>
      <c r="H55" s="28">
        <f>+F55/F56</f>
        <v>20</v>
      </c>
      <c r="I55" s="8"/>
      <c r="J55" s="9"/>
    </row>
    <row r="56" spans="1:10" ht="12.75">
      <c r="A56" s="10"/>
      <c r="B56" s="11"/>
      <c r="C56" s="11" t="s">
        <v>31</v>
      </c>
      <c r="D56" s="11"/>
      <c r="E56" s="11"/>
      <c r="F56" s="27">
        <f>+J19</f>
        <v>52500</v>
      </c>
      <c r="G56" s="11"/>
      <c r="H56" s="11"/>
      <c r="I56" s="11"/>
      <c r="J56" s="12"/>
    </row>
  </sheetData>
  <sheetProtection/>
  <mergeCells count="2">
    <mergeCell ref="A1:J1"/>
    <mergeCell ref="A2:J2"/>
  </mergeCells>
  <printOptions horizontalCentered="1" verticalCentered="1"/>
  <pageMargins left="0.47" right="0.42" top="0.35" bottom="0.36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4">
      <selection activeCell="J38" sqref="J38"/>
    </sheetView>
  </sheetViews>
  <sheetFormatPr defaultColWidth="11.421875" defaultRowHeight="12.75"/>
  <cols>
    <col min="1" max="1" width="2.140625" style="0" customWidth="1"/>
    <col min="5" max="5" width="3.140625" style="0" bestFit="1" customWidth="1"/>
    <col min="6" max="6" width="12.7109375" style="0" bestFit="1" customWidth="1"/>
    <col min="7" max="7" width="4.00390625" style="0" customWidth="1"/>
    <col min="9" max="9" width="3.28125" style="0" customWidth="1"/>
    <col min="10" max="10" width="12.7109375" style="0" bestFit="1" customWidth="1"/>
  </cols>
  <sheetData>
    <row r="1" spans="1:10" ht="15">
      <c r="A1" s="145" t="s">
        <v>134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ht="15">
      <c r="A2" s="148" t="s">
        <v>16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12.75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12.75">
      <c r="A4" s="7"/>
      <c r="B4" s="8"/>
      <c r="C4" s="8"/>
      <c r="D4" s="8"/>
      <c r="E4" s="8"/>
      <c r="F4" s="13"/>
      <c r="G4" s="8"/>
      <c r="H4" s="8"/>
      <c r="I4" s="8"/>
      <c r="J4" s="9"/>
    </row>
    <row r="5" spans="1:10" ht="12.75">
      <c r="A5" s="7"/>
      <c r="B5" s="14" t="s">
        <v>17</v>
      </c>
      <c r="C5" s="8"/>
      <c r="D5" s="8"/>
      <c r="E5" s="8"/>
      <c r="F5" s="97">
        <v>25</v>
      </c>
      <c r="G5" s="8"/>
      <c r="H5" s="8"/>
      <c r="I5" s="8"/>
      <c r="J5" s="9"/>
    </row>
    <row r="6" spans="1:10" ht="12.75">
      <c r="A6" s="15"/>
      <c r="B6" s="16"/>
      <c r="C6" s="16"/>
      <c r="D6" s="16"/>
      <c r="E6" s="16"/>
      <c r="F6" s="103"/>
      <c r="G6" s="16"/>
      <c r="H6" s="16"/>
      <c r="I6" s="16"/>
      <c r="J6" s="18"/>
    </row>
    <row r="7" spans="1:10" ht="12.75">
      <c r="A7" s="7"/>
      <c r="B7" s="14" t="s">
        <v>18</v>
      </c>
      <c r="C7" s="8"/>
      <c r="D7" s="8" t="s">
        <v>19</v>
      </c>
      <c r="E7" s="8"/>
      <c r="F7" s="97">
        <v>8</v>
      </c>
      <c r="G7" s="8"/>
      <c r="H7" s="8"/>
      <c r="I7" s="8"/>
      <c r="J7" s="9"/>
    </row>
    <row r="8" spans="1:10" ht="12.75">
      <c r="A8" s="7"/>
      <c r="B8" s="8"/>
      <c r="C8" s="8"/>
      <c r="D8" s="8" t="s">
        <v>19</v>
      </c>
      <c r="E8" s="8"/>
      <c r="F8" s="97">
        <v>6</v>
      </c>
      <c r="G8" s="8"/>
      <c r="H8" s="8"/>
      <c r="I8" s="8"/>
      <c r="J8" s="9"/>
    </row>
    <row r="9" spans="1:10" ht="12.75">
      <c r="A9" s="15"/>
      <c r="B9" s="16"/>
      <c r="C9" s="16"/>
      <c r="D9" s="16"/>
      <c r="E9" s="16"/>
      <c r="F9" s="103"/>
      <c r="G9" s="16"/>
      <c r="H9" s="16"/>
      <c r="I9" s="16"/>
      <c r="J9" s="18"/>
    </row>
    <row r="10" spans="1:10" ht="12.75">
      <c r="A10" s="7"/>
      <c r="B10" s="14" t="s">
        <v>20</v>
      </c>
      <c r="C10" s="8"/>
      <c r="D10" s="8"/>
      <c r="E10" s="8"/>
      <c r="F10" s="97">
        <v>15</v>
      </c>
      <c r="G10" s="8"/>
      <c r="H10" s="8" t="s">
        <v>21</v>
      </c>
      <c r="I10" s="8"/>
      <c r="J10" s="9"/>
    </row>
    <row r="11" spans="1:10" ht="12.75">
      <c r="A11" s="15"/>
      <c r="B11" s="16"/>
      <c r="C11" s="16"/>
      <c r="D11" s="16"/>
      <c r="E11" s="16"/>
      <c r="F11" s="17"/>
      <c r="G11" s="16"/>
      <c r="H11" s="16"/>
      <c r="I11" s="16"/>
      <c r="J11" s="18"/>
    </row>
    <row r="12" spans="1:10" ht="12.75">
      <c r="A12" s="7"/>
      <c r="B12" s="8"/>
      <c r="C12" s="8"/>
      <c r="D12" s="8"/>
      <c r="E12" s="8"/>
      <c r="F12" s="8"/>
      <c r="G12" s="8"/>
      <c r="H12" s="8"/>
      <c r="I12" s="8"/>
      <c r="J12" s="9"/>
    </row>
    <row r="13" spans="1:10" ht="12.75">
      <c r="A13" s="7"/>
      <c r="B13" s="14" t="s">
        <v>22</v>
      </c>
      <c r="C13" s="8"/>
      <c r="D13" s="97">
        <f>+F5</f>
        <v>25</v>
      </c>
      <c r="E13" s="19" t="s">
        <v>23</v>
      </c>
      <c r="F13" s="97">
        <f>+F7</f>
        <v>8</v>
      </c>
      <c r="G13" s="19" t="s">
        <v>24</v>
      </c>
      <c r="H13" s="97">
        <f>+D13*F13</f>
        <v>200</v>
      </c>
      <c r="I13" s="13"/>
      <c r="J13" s="9"/>
    </row>
    <row r="14" spans="1:10" ht="12.75">
      <c r="A14" s="7"/>
      <c r="B14" s="8"/>
      <c r="C14" s="8"/>
      <c r="D14" s="97">
        <f>+F5</f>
        <v>25</v>
      </c>
      <c r="E14" s="19" t="s">
        <v>23</v>
      </c>
      <c r="F14" s="97">
        <f>+F8</f>
        <v>6</v>
      </c>
      <c r="G14" s="19" t="s">
        <v>24</v>
      </c>
      <c r="H14" s="102">
        <f>+D14*F14</f>
        <v>150</v>
      </c>
      <c r="I14" s="13"/>
      <c r="J14" s="9"/>
    </row>
    <row r="15" spans="1:10" ht="12.75">
      <c r="A15" s="15"/>
      <c r="B15" s="16"/>
      <c r="C15" s="16"/>
      <c r="D15" s="103"/>
      <c r="E15" s="17"/>
      <c r="F15" s="103"/>
      <c r="G15" s="17"/>
      <c r="H15" s="103">
        <f>SUM(H13:H14)</f>
        <v>350</v>
      </c>
      <c r="I15" s="17"/>
      <c r="J15" s="18"/>
    </row>
    <row r="16" spans="1:10" ht="12.75">
      <c r="A16" s="7"/>
      <c r="B16" s="8"/>
      <c r="C16" s="8"/>
      <c r="D16" s="97"/>
      <c r="E16" s="13"/>
      <c r="F16" s="97"/>
      <c r="G16" s="13"/>
      <c r="H16" s="97"/>
      <c r="I16" s="13"/>
      <c r="J16" s="9"/>
    </row>
    <row r="17" spans="1:10" ht="12.75">
      <c r="A17" s="7"/>
      <c r="B17" s="14" t="s">
        <v>25</v>
      </c>
      <c r="C17" s="8"/>
      <c r="D17" s="97">
        <f>+F5</f>
        <v>25</v>
      </c>
      <c r="E17" s="19" t="s">
        <v>23</v>
      </c>
      <c r="F17" s="97">
        <f>+F7</f>
        <v>8</v>
      </c>
      <c r="G17" s="19" t="s">
        <v>23</v>
      </c>
      <c r="H17" s="97">
        <f>+F10</f>
        <v>15</v>
      </c>
      <c r="I17" s="19" t="s">
        <v>24</v>
      </c>
      <c r="J17" s="99">
        <f>+D17*F17*H17</f>
        <v>3000</v>
      </c>
    </row>
    <row r="18" spans="1:10" ht="12.75">
      <c r="A18" s="7"/>
      <c r="B18" s="8"/>
      <c r="C18" s="8"/>
      <c r="D18" s="97">
        <f>+F5</f>
        <v>25</v>
      </c>
      <c r="E18" s="19" t="s">
        <v>23</v>
      </c>
      <c r="F18" s="97">
        <f>+F8</f>
        <v>6</v>
      </c>
      <c r="G18" s="19" t="s">
        <v>23</v>
      </c>
      <c r="H18" s="102">
        <f>+F10</f>
        <v>15</v>
      </c>
      <c r="I18" s="19" t="s">
        <v>24</v>
      </c>
      <c r="J18" s="100">
        <f>+D18*F18*H18</f>
        <v>2250</v>
      </c>
    </row>
    <row r="19" spans="1:10" ht="12.75">
      <c r="A19" s="15"/>
      <c r="B19" s="16"/>
      <c r="C19" s="16"/>
      <c r="D19" s="17"/>
      <c r="E19" s="17"/>
      <c r="F19" s="17"/>
      <c r="G19" s="17"/>
      <c r="H19" s="103">
        <f>SUM(H17:H18)</f>
        <v>30</v>
      </c>
      <c r="I19" s="17"/>
      <c r="J19" s="101">
        <f>SUM(J17:J18)</f>
        <v>5250</v>
      </c>
    </row>
    <row r="20" spans="1:10" ht="12.75">
      <c r="A20" s="7"/>
      <c r="B20" s="8"/>
      <c r="C20" s="8"/>
      <c r="D20" s="13"/>
      <c r="E20" s="13"/>
      <c r="F20" s="13"/>
      <c r="G20" s="13"/>
      <c r="H20" s="13"/>
      <c r="I20" s="13"/>
      <c r="J20" s="9"/>
    </row>
    <row r="21" spans="1:10" ht="12.75">
      <c r="A21" s="7"/>
      <c r="B21" s="14" t="s">
        <v>49</v>
      </c>
      <c r="C21" s="8"/>
      <c r="D21" s="13"/>
      <c r="E21" s="13"/>
      <c r="F21" s="13"/>
      <c r="G21" s="13"/>
      <c r="H21" s="13"/>
      <c r="I21" s="13"/>
      <c r="J21" s="9"/>
    </row>
    <row r="22" spans="1:10" ht="12.75">
      <c r="A22" s="7"/>
      <c r="B22" s="8"/>
      <c r="C22" s="8"/>
      <c r="D22" s="13"/>
      <c r="E22" s="13"/>
      <c r="F22" s="13"/>
      <c r="G22" s="20"/>
      <c r="H22" s="13"/>
      <c r="I22" s="19"/>
      <c r="J22" s="21"/>
    </row>
    <row r="23" spans="1:10" ht="12.75">
      <c r="A23" s="7"/>
      <c r="B23" s="33" t="s">
        <v>50</v>
      </c>
      <c r="C23" s="8"/>
      <c r="D23" s="13"/>
      <c r="E23" s="13"/>
      <c r="F23" s="13"/>
      <c r="G23" s="20"/>
      <c r="H23" s="13"/>
      <c r="I23" s="19"/>
      <c r="J23" s="21"/>
    </row>
    <row r="24" spans="1:10" ht="12.75">
      <c r="A24" s="7"/>
      <c r="B24" s="8" t="s">
        <v>51</v>
      </c>
      <c r="C24" s="8"/>
      <c r="D24" s="13"/>
      <c r="E24" s="13"/>
      <c r="F24" s="97">
        <v>39500</v>
      </c>
      <c r="G24" s="20"/>
      <c r="H24" s="13"/>
      <c r="I24" s="19"/>
      <c r="J24" s="21"/>
    </row>
    <row r="25" spans="1:10" ht="12.75">
      <c r="A25" s="7"/>
      <c r="B25" s="30" t="s">
        <v>52</v>
      </c>
      <c r="C25" s="8"/>
      <c r="D25" s="13"/>
      <c r="E25" s="13"/>
      <c r="F25" s="97">
        <v>500</v>
      </c>
      <c r="G25" s="20" t="s">
        <v>53</v>
      </c>
      <c r="H25" s="32">
        <v>0.6</v>
      </c>
      <c r="I25" s="34" t="s">
        <v>54</v>
      </c>
      <c r="J25" s="21"/>
    </row>
    <row r="26" spans="1:10" ht="12.75">
      <c r="A26" s="7"/>
      <c r="B26" s="30" t="s">
        <v>90</v>
      </c>
      <c r="C26" s="8"/>
      <c r="D26" s="97">
        <f>+F24+F25</f>
        <v>40000</v>
      </c>
      <c r="E26" s="13"/>
      <c r="F26" s="97">
        <f>+F25</f>
        <v>500</v>
      </c>
      <c r="G26" s="34" t="s">
        <v>88</v>
      </c>
      <c r="H26" s="13"/>
      <c r="I26" s="19"/>
      <c r="J26" s="21"/>
    </row>
    <row r="27" spans="1:10" ht="12.75">
      <c r="A27" s="7"/>
      <c r="B27" s="30" t="s">
        <v>56</v>
      </c>
      <c r="C27" s="8"/>
      <c r="D27" s="97">
        <f>+F24+F27</f>
        <v>39800</v>
      </c>
      <c r="E27" s="13"/>
      <c r="F27" s="97">
        <f>+F26*H25</f>
        <v>300</v>
      </c>
      <c r="G27" s="20"/>
      <c r="H27" s="13"/>
      <c r="I27" s="19"/>
      <c r="J27" s="21"/>
    </row>
    <row r="28" spans="1:10" ht="12.75">
      <c r="A28" s="7"/>
      <c r="B28" s="30"/>
      <c r="C28" s="8"/>
      <c r="D28" s="13"/>
      <c r="E28" s="13"/>
      <c r="F28" s="13"/>
      <c r="G28" s="20"/>
      <c r="H28" s="13"/>
      <c r="I28" s="19"/>
      <c r="J28" s="21"/>
    </row>
    <row r="29" spans="1:10" ht="12.75">
      <c r="A29" s="7"/>
      <c r="B29" s="33" t="s">
        <v>57</v>
      </c>
      <c r="C29" s="8"/>
      <c r="D29" s="13"/>
      <c r="E29" s="13"/>
      <c r="F29" s="13"/>
      <c r="G29" s="20"/>
      <c r="H29" s="13"/>
      <c r="I29" s="19"/>
      <c r="J29" s="21"/>
    </row>
    <row r="30" spans="1:10" ht="12.75">
      <c r="A30" s="7"/>
      <c r="B30" s="8" t="s">
        <v>51</v>
      </c>
      <c r="C30" s="8"/>
      <c r="D30" s="13"/>
      <c r="E30" s="13"/>
      <c r="F30" s="97">
        <v>28600</v>
      </c>
      <c r="G30" s="20"/>
      <c r="H30" s="13"/>
      <c r="I30" s="19"/>
      <c r="J30" s="21"/>
    </row>
    <row r="31" spans="1:10" ht="12.75">
      <c r="A31" s="7"/>
      <c r="B31" s="30" t="s">
        <v>52</v>
      </c>
      <c r="C31" s="8"/>
      <c r="D31" s="13"/>
      <c r="E31" s="13"/>
      <c r="F31" s="97">
        <v>400</v>
      </c>
      <c r="G31" s="20" t="s">
        <v>53</v>
      </c>
      <c r="H31" s="32">
        <v>0.8</v>
      </c>
      <c r="I31" s="34" t="s">
        <v>54</v>
      </c>
      <c r="J31" s="21"/>
    </row>
    <row r="32" spans="1:10" ht="12.75">
      <c r="A32" s="7"/>
      <c r="B32" s="30" t="s">
        <v>55</v>
      </c>
      <c r="C32" s="8"/>
      <c r="D32" s="97">
        <f>+F30+F31</f>
        <v>29000</v>
      </c>
      <c r="E32" s="13"/>
      <c r="F32" s="97">
        <f>+F31</f>
        <v>400</v>
      </c>
      <c r="G32" s="34" t="s">
        <v>88</v>
      </c>
      <c r="H32" s="13"/>
      <c r="I32" s="19"/>
      <c r="J32" s="21"/>
    </row>
    <row r="33" spans="1:10" ht="12.75">
      <c r="A33" s="7"/>
      <c r="B33" s="30" t="s">
        <v>56</v>
      </c>
      <c r="C33" s="8"/>
      <c r="D33" s="97">
        <f>+F30+F33</f>
        <v>28920</v>
      </c>
      <c r="E33" s="13"/>
      <c r="F33" s="97">
        <f>+F32*H31</f>
        <v>320</v>
      </c>
      <c r="G33" s="20"/>
      <c r="H33" s="13"/>
      <c r="I33" s="19"/>
      <c r="J33" s="21"/>
    </row>
    <row r="34" spans="1:10" ht="12.75">
      <c r="A34" s="7"/>
      <c r="B34" s="8"/>
      <c r="C34" s="8"/>
      <c r="D34" s="13"/>
      <c r="E34" s="13"/>
      <c r="F34" s="13"/>
      <c r="G34" s="78"/>
      <c r="H34" s="13"/>
      <c r="I34" s="19"/>
      <c r="J34" s="21"/>
    </row>
    <row r="35" spans="1:10" ht="12.75">
      <c r="A35" s="15"/>
      <c r="B35" s="16"/>
      <c r="C35" s="16"/>
      <c r="D35" s="17"/>
      <c r="E35" s="17"/>
      <c r="F35" s="17"/>
      <c r="G35" s="17"/>
      <c r="H35" s="17"/>
      <c r="I35" s="17"/>
      <c r="J35" s="18"/>
    </row>
    <row r="36" spans="1:10" ht="12.75">
      <c r="A36" s="7"/>
      <c r="B36" s="8"/>
      <c r="C36" s="8"/>
      <c r="D36" s="8"/>
      <c r="E36" s="8"/>
      <c r="F36" s="8"/>
      <c r="G36" s="8"/>
      <c r="H36" s="8"/>
      <c r="I36" s="8"/>
      <c r="J36" s="9"/>
    </row>
    <row r="37" spans="1:10" ht="12.75">
      <c r="A37" s="7"/>
      <c r="B37" s="14" t="s">
        <v>27</v>
      </c>
      <c r="C37" s="8"/>
      <c r="D37" s="8"/>
      <c r="E37" s="8"/>
      <c r="F37" s="8"/>
      <c r="G37" s="8"/>
      <c r="H37" s="8"/>
      <c r="I37" s="8"/>
      <c r="J37" s="9"/>
    </row>
    <row r="38" spans="1:10" ht="12.75">
      <c r="A38" s="7"/>
      <c r="B38" s="113" t="s">
        <v>135</v>
      </c>
      <c r="C38" s="8"/>
      <c r="D38" s="8"/>
      <c r="E38" s="8"/>
      <c r="F38" s="8"/>
      <c r="G38" s="8"/>
      <c r="H38" s="8"/>
      <c r="I38" s="8"/>
      <c r="J38" s="110">
        <f>81855/30</f>
        <v>2728.5</v>
      </c>
    </row>
    <row r="39" spans="1:10" ht="12.75">
      <c r="A39" s="7"/>
      <c r="B39" s="113" t="s">
        <v>137</v>
      </c>
      <c r="C39" s="8"/>
      <c r="D39" s="8"/>
      <c r="E39" s="8"/>
      <c r="F39" s="8"/>
      <c r="G39" s="8"/>
      <c r="H39" s="8"/>
      <c r="I39" s="8"/>
      <c r="J39" s="110">
        <f>+J38*H19</f>
        <v>81855</v>
      </c>
    </row>
    <row r="40" spans="1:10" ht="12.75">
      <c r="A40" s="7"/>
      <c r="B40" s="8" t="s">
        <v>136</v>
      </c>
      <c r="C40" s="8"/>
      <c r="D40" s="24"/>
      <c r="E40" s="8"/>
      <c r="F40" s="25"/>
      <c r="G40" s="8"/>
      <c r="H40" s="8"/>
      <c r="I40" s="8"/>
      <c r="J40" s="111">
        <f>250*H19</f>
        <v>7500</v>
      </c>
    </row>
    <row r="41" spans="1:10" ht="12.75">
      <c r="A41" s="7"/>
      <c r="B41" s="8" t="s">
        <v>58</v>
      </c>
      <c r="C41" s="8"/>
      <c r="D41" s="8"/>
      <c r="E41" s="8"/>
      <c r="F41" s="8"/>
      <c r="G41" s="8"/>
      <c r="H41" s="8"/>
      <c r="I41" s="8"/>
      <c r="J41" s="110">
        <f>+J39+J40</f>
        <v>89355</v>
      </c>
    </row>
    <row r="42" spans="1:10" ht="12.75">
      <c r="A42" s="15"/>
      <c r="B42" s="16"/>
      <c r="C42" s="16"/>
      <c r="D42" s="16"/>
      <c r="E42" s="16"/>
      <c r="F42" s="16"/>
      <c r="G42" s="16"/>
      <c r="H42" s="16"/>
      <c r="I42" s="16"/>
      <c r="J42" s="18"/>
    </row>
    <row r="43" spans="1:10" ht="12.75">
      <c r="A43" s="7"/>
      <c r="B43" s="14" t="s">
        <v>29</v>
      </c>
      <c r="C43" s="8"/>
      <c r="D43" s="8"/>
      <c r="E43" s="8"/>
      <c r="F43" s="8"/>
      <c r="G43" s="8"/>
      <c r="H43" s="8"/>
      <c r="I43" s="8"/>
      <c r="J43" s="9"/>
    </row>
    <row r="44" spans="1:10" ht="12.75">
      <c r="A44" s="7"/>
      <c r="B44" s="8" t="s">
        <v>59</v>
      </c>
      <c r="C44" s="8"/>
      <c r="D44" s="8"/>
      <c r="E44" s="8"/>
      <c r="F44" s="24"/>
      <c r="G44" s="8"/>
      <c r="H44" s="25"/>
      <c r="I44" s="8"/>
      <c r="J44" s="110">
        <v>104895</v>
      </c>
    </row>
    <row r="45" spans="1:10" ht="12.75">
      <c r="A45" s="15"/>
      <c r="B45" s="16"/>
      <c r="C45" s="16"/>
      <c r="D45" s="16"/>
      <c r="E45" s="16"/>
      <c r="F45" s="16"/>
      <c r="G45" s="16"/>
      <c r="H45" s="16"/>
      <c r="I45" s="16"/>
      <c r="J45" s="18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7"/>
      <c r="B47" s="14" t="s">
        <v>34</v>
      </c>
      <c r="C47" s="8"/>
      <c r="D47" s="8"/>
      <c r="E47" s="8"/>
      <c r="F47" s="8"/>
      <c r="G47" s="8"/>
      <c r="H47" s="8"/>
      <c r="I47" s="8"/>
      <c r="J47" s="9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7"/>
      <c r="B49" s="8"/>
      <c r="C49" s="26" t="s">
        <v>35</v>
      </c>
      <c r="D49" s="8"/>
      <c r="E49" s="8"/>
      <c r="F49" s="108">
        <f>+J41</f>
        <v>89355</v>
      </c>
      <c r="G49" s="8"/>
      <c r="H49" s="28">
        <f>+F49/F50</f>
        <v>17.02</v>
      </c>
      <c r="I49" s="8"/>
      <c r="J49" s="9"/>
    </row>
    <row r="50" spans="1:10" ht="12.75">
      <c r="A50" s="15"/>
      <c r="B50" s="16"/>
      <c r="C50" s="16" t="s">
        <v>36</v>
      </c>
      <c r="D50" s="16"/>
      <c r="E50" s="16"/>
      <c r="F50" s="109">
        <f>+J19</f>
        <v>5250</v>
      </c>
      <c r="G50" s="16"/>
      <c r="H50" s="16"/>
      <c r="I50" s="16"/>
      <c r="J50" s="18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7"/>
      <c r="B52" s="14" t="s">
        <v>37</v>
      </c>
      <c r="C52" s="8"/>
      <c r="D52" s="8"/>
      <c r="E52" s="8"/>
      <c r="F52" s="8"/>
      <c r="G52" s="8"/>
      <c r="H52" s="8"/>
      <c r="I52" s="8"/>
      <c r="J52" s="9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7"/>
      <c r="B54" s="8"/>
      <c r="C54" s="26" t="s">
        <v>38</v>
      </c>
      <c r="D54" s="8"/>
      <c r="E54" s="8"/>
      <c r="F54" s="108">
        <f>+J44</f>
        <v>104895</v>
      </c>
      <c r="G54" s="8"/>
      <c r="H54" s="28">
        <f>+F54/F55</f>
        <v>19.98</v>
      </c>
      <c r="I54" s="8"/>
      <c r="J54" s="9"/>
    </row>
    <row r="55" spans="1:10" ht="12.75">
      <c r="A55" s="10"/>
      <c r="B55" s="11"/>
      <c r="C55" s="11" t="s">
        <v>31</v>
      </c>
      <c r="D55" s="11"/>
      <c r="E55" s="11"/>
      <c r="F55" s="106">
        <f>+J19</f>
        <v>5250</v>
      </c>
      <c r="G55" s="11"/>
      <c r="H55" s="11"/>
      <c r="I55" s="11"/>
      <c r="J55" s="12"/>
    </row>
  </sheetData>
  <sheetProtection/>
  <mergeCells count="2">
    <mergeCell ref="A1:J1"/>
    <mergeCell ref="A2:J2"/>
  </mergeCells>
  <printOptions horizontalCentered="1" verticalCentered="1"/>
  <pageMargins left="0.4" right="0.35" top="0.61" bottom="0.48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2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2" max="2" width="9.57421875" style="0" customWidth="1"/>
    <col min="3" max="3" width="10.140625" style="0" customWidth="1"/>
    <col min="4" max="4" width="11.00390625" style="0" customWidth="1"/>
    <col min="5" max="5" width="10.28125" style="0" customWidth="1"/>
    <col min="6" max="6" width="10.00390625" style="0" customWidth="1"/>
    <col min="7" max="7" width="9.8515625" style="0" customWidth="1"/>
    <col min="8" max="8" width="11.00390625" style="0" customWidth="1"/>
    <col min="9" max="9" width="11.140625" style="0" customWidth="1"/>
  </cols>
  <sheetData>
    <row r="1" ht="15.75">
      <c r="A1" s="35" t="s">
        <v>134</v>
      </c>
    </row>
    <row r="2" ht="15.75">
      <c r="A2" s="35" t="s">
        <v>148</v>
      </c>
    </row>
    <row r="4" spans="1:11" ht="15" customHeight="1">
      <c r="A4" s="118" t="s">
        <v>60</v>
      </c>
      <c r="B4" s="119"/>
      <c r="C4" s="120"/>
      <c r="D4" s="153" t="s">
        <v>61</v>
      </c>
      <c r="E4" s="151" t="s">
        <v>142</v>
      </c>
      <c r="F4" s="152"/>
      <c r="G4" s="153" t="s">
        <v>144</v>
      </c>
      <c r="H4" s="151" t="s">
        <v>62</v>
      </c>
      <c r="I4" s="152"/>
      <c r="J4" s="4" t="s">
        <v>6</v>
      </c>
      <c r="K4" s="4" t="s">
        <v>140</v>
      </c>
    </row>
    <row r="5" spans="1:11" ht="12.75">
      <c r="A5" s="121"/>
      <c r="B5" s="122"/>
      <c r="C5" s="123"/>
      <c r="D5" s="154"/>
      <c r="E5" s="124" t="s">
        <v>48</v>
      </c>
      <c r="F5" s="125" t="s">
        <v>143</v>
      </c>
      <c r="G5" s="154"/>
      <c r="H5" s="124" t="s">
        <v>48</v>
      </c>
      <c r="I5" s="125" t="s">
        <v>143</v>
      </c>
      <c r="J5">
        <v>1</v>
      </c>
      <c r="K5">
        <v>100</v>
      </c>
    </row>
    <row r="6" spans="1:11" ht="12.75">
      <c r="A6" s="127"/>
      <c r="B6" s="128"/>
      <c r="C6" s="129"/>
      <c r="D6" s="130"/>
      <c r="E6" s="131"/>
      <c r="F6" s="131"/>
      <c r="G6" s="131"/>
      <c r="H6" s="131"/>
      <c r="I6" s="132"/>
      <c r="K6" s="4" t="s">
        <v>141</v>
      </c>
    </row>
    <row r="7" spans="1:11" ht="12.75">
      <c r="A7" s="41" t="s">
        <v>64</v>
      </c>
      <c r="B7" s="8"/>
      <c r="C7" s="9"/>
      <c r="D7" s="37"/>
      <c r="E7" s="38"/>
      <c r="F7" s="38"/>
      <c r="G7" s="38"/>
      <c r="H7" s="38"/>
      <c r="I7" s="39"/>
      <c r="J7">
        <v>1</v>
      </c>
      <c r="K7">
        <f>+K5*16</f>
        <v>1600</v>
      </c>
    </row>
    <row r="8" spans="1:11" ht="12.75">
      <c r="A8" s="7" t="s">
        <v>65</v>
      </c>
      <c r="B8" s="8"/>
      <c r="C8" s="9"/>
      <c r="D8" s="37" t="s">
        <v>66</v>
      </c>
      <c r="E8" s="53">
        <f>+I22</f>
        <v>0.005</v>
      </c>
      <c r="F8" s="53">
        <f>+J22</f>
        <v>0.0025</v>
      </c>
      <c r="G8" s="38">
        <f>+C22</f>
        <v>1000</v>
      </c>
      <c r="H8" s="53">
        <f>+E8*G8</f>
        <v>5</v>
      </c>
      <c r="I8" s="53">
        <f>+F8*G8</f>
        <v>2.5</v>
      </c>
      <c r="J8" s="10">
        <f>+K8/K7</f>
        <v>0.005</v>
      </c>
      <c r="K8" s="11">
        <v>8</v>
      </c>
    </row>
    <row r="9" spans="1:11" ht="12.75">
      <c r="A9" s="7" t="s">
        <v>9</v>
      </c>
      <c r="B9" s="8"/>
      <c r="C9" s="9"/>
      <c r="D9" s="37" t="s">
        <v>66</v>
      </c>
      <c r="E9" s="53">
        <f>+I23</f>
        <v>0.0025</v>
      </c>
      <c r="F9" s="53">
        <f>J23</f>
        <v>0.00125</v>
      </c>
      <c r="G9" s="38">
        <f>C23</f>
        <v>500</v>
      </c>
      <c r="H9" s="53">
        <f>+E9*G9</f>
        <v>1.25</v>
      </c>
      <c r="I9" s="53">
        <f>+F9*G9</f>
        <v>0.625</v>
      </c>
      <c r="J9">
        <v>1</v>
      </c>
      <c r="K9">
        <f>+K7</f>
        <v>1600</v>
      </c>
    </row>
    <row r="10" spans="1:11" ht="12.75">
      <c r="A10" s="7" t="s">
        <v>12</v>
      </c>
      <c r="B10" s="8"/>
      <c r="C10" s="9"/>
      <c r="D10" s="37" t="s">
        <v>72</v>
      </c>
      <c r="E10" s="53">
        <f>G26</f>
        <v>0.2</v>
      </c>
      <c r="F10" s="53">
        <f>H26</f>
        <v>0.1</v>
      </c>
      <c r="G10" s="38">
        <f>C26</f>
        <v>10</v>
      </c>
      <c r="H10" s="53">
        <f>+E10*G10</f>
        <v>2</v>
      </c>
      <c r="I10" s="53">
        <f>+F10*G10</f>
        <v>1</v>
      </c>
      <c r="J10" s="10">
        <f>+K10/K9</f>
        <v>0.0025</v>
      </c>
      <c r="K10" s="11">
        <v>4</v>
      </c>
    </row>
    <row r="11" spans="1:11" ht="12.75">
      <c r="A11" s="7" t="s">
        <v>161</v>
      </c>
      <c r="B11" s="8"/>
      <c r="C11" s="9"/>
      <c r="D11" s="37" t="s">
        <v>139</v>
      </c>
      <c r="E11" s="53"/>
      <c r="F11" s="53">
        <v>1</v>
      </c>
      <c r="G11" s="114">
        <v>0.075</v>
      </c>
      <c r="H11" s="53">
        <f>+E11*G11</f>
        <v>0</v>
      </c>
      <c r="I11" s="53">
        <f>+F11*G11</f>
        <v>0.075</v>
      </c>
      <c r="J11">
        <v>1</v>
      </c>
      <c r="K11">
        <f>+K9</f>
        <v>1600</v>
      </c>
    </row>
    <row r="12" spans="1:11" ht="12.75">
      <c r="A12" s="7" t="s">
        <v>162</v>
      </c>
      <c r="B12" s="8"/>
      <c r="C12" s="9"/>
      <c r="D12" s="37" t="s">
        <v>139</v>
      </c>
      <c r="E12" s="53">
        <v>1</v>
      </c>
      <c r="F12" s="53"/>
      <c r="G12" s="114">
        <v>0.1</v>
      </c>
      <c r="H12" s="54">
        <f>+E12*G12</f>
        <v>0.1</v>
      </c>
      <c r="I12" s="54">
        <f>+F12*G12</f>
        <v>0</v>
      </c>
      <c r="J12" s="10">
        <f>+K12/K11</f>
        <v>0.0025</v>
      </c>
      <c r="K12" s="11">
        <v>4</v>
      </c>
    </row>
    <row r="13" spans="1:11" ht="12.75">
      <c r="A13" s="41" t="s">
        <v>63</v>
      </c>
      <c r="B13" s="8"/>
      <c r="C13" s="9"/>
      <c r="D13" s="37"/>
      <c r="E13" s="53"/>
      <c r="F13" s="53"/>
      <c r="G13" s="53"/>
      <c r="H13" s="53">
        <f>SUM(H8:H12)</f>
        <v>8.35</v>
      </c>
      <c r="I13" s="53">
        <f>SUM(I8:I12)</f>
        <v>4.2</v>
      </c>
      <c r="J13">
        <v>1</v>
      </c>
      <c r="K13">
        <f>+K11</f>
        <v>1600</v>
      </c>
    </row>
    <row r="14" spans="1:11" ht="12.75">
      <c r="A14" s="7"/>
      <c r="B14" s="8"/>
      <c r="C14" s="9"/>
      <c r="D14" s="37"/>
      <c r="E14" s="53"/>
      <c r="F14" s="53"/>
      <c r="G14" s="53"/>
      <c r="H14" s="53"/>
      <c r="I14" s="53"/>
      <c r="J14" s="10">
        <f>+K14/K13</f>
        <v>0.00125</v>
      </c>
      <c r="K14" s="11">
        <v>2</v>
      </c>
    </row>
    <row r="15" spans="1:11" ht="12.75">
      <c r="A15" s="41" t="s">
        <v>74</v>
      </c>
      <c r="B15" s="8"/>
      <c r="C15" s="9"/>
      <c r="D15" s="37" t="s">
        <v>32</v>
      </c>
      <c r="E15" s="53">
        <f>+'Cedula elementos STD'!H44</f>
        <v>0.1</v>
      </c>
      <c r="F15" s="53">
        <f>+'Cedula elementos STD'!H40</f>
        <v>0.06</v>
      </c>
      <c r="G15" s="53">
        <f>+'Cedula elementos STD'!H50</f>
        <v>17</v>
      </c>
      <c r="H15" s="53">
        <f>+E15*G15</f>
        <v>1.7000000000000002</v>
      </c>
      <c r="I15" s="53">
        <f>+F15*G15</f>
        <v>1.02</v>
      </c>
      <c r="J15" s="126" t="s">
        <v>145</v>
      </c>
      <c r="K15" s="126" t="s">
        <v>146</v>
      </c>
    </row>
    <row r="16" spans="1:11" ht="12.75">
      <c r="A16" s="7"/>
      <c r="B16" s="8"/>
      <c r="C16" s="9"/>
      <c r="D16" s="37"/>
      <c r="E16" s="53"/>
      <c r="F16" s="53"/>
      <c r="G16" s="53"/>
      <c r="H16" s="53"/>
      <c r="I16" s="53"/>
      <c r="J16">
        <v>1</v>
      </c>
      <c r="K16">
        <v>1000</v>
      </c>
    </row>
    <row r="17" spans="1:11" ht="12.75">
      <c r="A17" s="41" t="s">
        <v>75</v>
      </c>
      <c r="B17" s="8"/>
      <c r="C17" s="9"/>
      <c r="D17" s="37" t="s">
        <v>32</v>
      </c>
      <c r="E17" s="53">
        <f>+'Cedula elementos STD'!H44</f>
        <v>0.1</v>
      </c>
      <c r="F17" s="53">
        <f>+'Cedula elementos STD'!H40</f>
        <v>0.06</v>
      </c>
      <c r="G17" s="53">
        <f>+'Cedula elementos STD'!H55</f>
        <v>20</v>
      </c>
      <c r="H17" s="53">
        <f>+E17*G17</f>
        <v>2</v>
      </c>
      <c r="I17" s="53">
        <f>+F17*G17</f>
        <v>1.2</v>
      </c>
      <c r="J17" s="10">
        <f>+K17/K16</f>
        <v>0.2</v>
      </c>
      <c r="K17" s="11">
        <v>200</v>
      </c>
    </row>
    <row r="18" spans="1:11" ht="12.75">
      <c r="A18" s="41"/>
      <c r="B18" s="8"/>
      <c r="C18" s="9"/>
      <c r="D18" s="37"/>
      <c r="E18" s="53"/>
      <c r="F18" s="53"/>
      <c r="G18" s="53"/>
      <c r="H18" s="53"/>
      <c r="I18" s="53"/>
      <c r="J18">
        <v>1</v>
      </c>
      <c r="K18">
        <v>1000</v>
      </c>
    </row>
    <row r="19" spans="1:11" ht="12.75">
      <c r="A19" s="57" t="s">
        <v>147</v>
      </c>
      <c r="B19" s="44"/>
      <c r="C19" s="44"/>
      <c r="D19" s="44"/>
      <c r="E19" s="58"/>
      <c r="F19" s="58"/>
      <c r="G19" s="58"/>
      <c r="H19" s="59">
        <f>SUM(H13:H18)</f>
        <v>12.05</v>
      </c>
      <c r="I19" s="59">
        <f>SUM(I13:I18)</f>
        <v>6.420000000000001</v>
      </c>
      <c r="J19" s="10">
        <f>+K19/K18</f>
        <v>0.1</v>
      </c>
      <c r="K19" s="11">
        <v>100</v>
      </c>
    </row>
    <row r="20" spans="1:9" ht="12.75">
      <c r="A20" s="56"/>
      <c r="B20" s="8"/>
      <c r="C20" s="8"/>
      <c r="D20" s="8"/>
      <c r="E20" s="55"/>
      <c r="F20" s="55"/>
      <c r="G20" s="55"/>
      <c r="H20" s="55"/>
      <c r="I20" s="55"/>
    </row>
    <row r="21" spans="1:17" ht="51">
      <c r="A21" s="2" t="s">
        <v>0</v>
      </c>
      <c r="B21" s="3" t="s">
        <v>1</v>
      </c>
      <c r="C21" s="2" t="s">
        <v>2</v>
      </c>
      <c r="D21" s="3" t="s">
        <v>3</v>
      </c>
      <c r="E21" s="3" t="s">
        <v>4</v>
      </c>
      <c r="F21" s="3" t="s">
        <v>67</v>
      </c>
      <c r="G21" s="3" t="s">
        <v>68</v>
      </c>
      <c r="H21" s="3" t="s">
        <v>69</v>
      </c>
      <c r="I21" s="3" t="s">
        <v>70</v>
      </c>
      <c r="J21" s="3" t="s">
        <v>71</v>
      </c>
      <c r="K21" s="3"/>
      <c r="L21" s="3"/>
      <c r="M21" s="45"/>
      <c r="N21" s="45"/>
      <c r="O21" s="45"/>
      <c r="P21" s="45"/>
      <c r="Q21" s="45"/>
    </row>
    <row r="22" spans="1:17" ht="12.75">
      <c r="A22" s="4" t="s">
        <v>5</v>
      </c>
      <c r="B22" s="4" t="s">
        <v>6</v>
      </c>
      <c r="C22" s="5">
        <v>1000</v>
      </c>
      <c r="D22" s="4" t="s">
        <v>7</v>
      </c>
      <c r="E22" s="4" t="s">
        <v>8</v>
      </c>
      <c r="F22" s="115">
        <v>100</v>
      </c>
      <c r="G22" s="116">
        <v>16</v>
      </c>
      <c r="H22" s="117">
        <f>+G22*F22</f>
        <v>1600</v>
      </c>
      <c r="I22" s="48">
        <f>8/H22</f>
        <v>0.005</v>
      </c>
      <c r="J22" s="49">
        <f>4/H22</f>
        <v>0.0025</v>
      </c>
      <c r="K22" s="45"/>
      <c r="L22" s="45"/>
      <c r="M22" s="45"/>
      <c r="N22" s="45"/>
      <c r="O22" s="45"/>
      <c r="P22" s="45"/>
      <c r="Q22" s="45"/>
    </row>
    <row r="23" spans="1:17" ht="12.75">
      <c r="A23" s="4" t="s">
        <v>9</v>
      </c>
      <c r="B23" s="4" t="s">
        <v>6</v>
      </c>
      <c r="C23" s="5">
        <v>500</v>
      </c>
      <c r="D23" s="4" t="s">
        <v>10</v>
      </c>
      <c r="E23" s="4" t="s">
        <v>11</v>
      </c>
      <c r="F23" s="115">
        <v>100</v>
      </c>
      <c r="G23" s="116">
        <v>16</v>
      </c>
      <c r="H23" s="117">
        <f>+G23*F23</f>
        <v>1600</v>
      </c>
      <c r="I23" s="51">
        <f>4/H23</f>
        <v>0.0025</v>
      </c>
      <c r="J23" s="50">
        <f>2/H23</f>
        <v>0.00125</v>
      </c>
      <c r="K23" s="45"/>
      <c r="L23" s="45"/>
      <c r="M23" s="45"/>
      <c r="N23" s="45"/>
      <c r="O23" s="45"/>
      <c r="P23" s="45"/>
      <c r="Q23" s="45"/>
    </row>
    <row r="24" spans="6:17" ht="12.75">
      <c r="F24" s="4"/>
      <c r="G24" s="47"/>
      <c r="H24" s="47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63.75">
      <c r="A25" s="43"/>
      <c r="B25" s="43"/>
      <c r="C25" s="42"/>
      <c r="D25" s="42"/>
      <c r="E25" s="42"/>
      <c r="F25" s="3" t="s">
        <v>73</v>
      </c>
      <c r="G25" s="3" t="s">
        <v>70</v>
      </c>
      <c r="H25" s="3" t="s">
        <v>71</v>
      </c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2.75">
      <c r="A26" s="4" t="s">
        <v>12</v>
      </c>
      <c r="B26" s="4" t="s">
        <v>13</v>
      </c>
      <c r="C26" s="5">
        <v>10</v>
      </c>
      <c r="D26" s="4" t="s">
        <v>14</v>
      </c>
      <c r="E26" s="4" t="s">
        <v>15</v>
      </c>
      <c r="F26" s="4">
        <v>1000</v>
      </c>
      <c r="G26" s="46">
        <f>200/F26</f>
        <v>0.2</v>
      </c>
      <c r="H26" s="46">
        <f>100/F26</f>
        <v>0.1</v>
      </c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12.75">
      <c r="A27" s="42"/>
      <c r="B27" s="42"/>
      <c r="C27" s="42"/>
      <c r="D27" s="42"/>
      <c r="E27" s="42"/>
      <c r="F27" s="4"/>
      <c r="G27" s="47"/>
      <c r="H27" s="47"/>
      <c r="I27" s="45"/>
      <c r="J27" s="45"/>
      <c r="K27" s="45"/>
      <c r="L27" s="45"/>
      <c r="M27" s="45"/>
      <c r="N27" s="45"/>
      <c r="O27" s="45"/>
      <c r="P27" s="45"/>
      <c r="Q27" s="45"/>
    </row>
    <row r="28" spans="6:17" ht="12.75">
      <c r="F28" s="4"/>
      <c r="G28" s="47"/>
      <c r="H28" s="47"/>
      <c r="I28" s="45"/>
      <c r="J28" s="45"/>
      <c r="K28" s="45"/>
      <c r="L28" s="45"/>
      <c r="M28" s="45"/>
      <c r="N28" s="45"/>
      <c r="O28" s="45"/>
      <c r="P28" s="45"/>
      <c r="Q28" s="45"/>
    </row>
    <row r="29" spans="6:17" ht="12.75">
      <c r="F29" s="4"/>
      <c r="G29" s="47"/>
      <c r="H29" s="47"/>
      <c r="I29" s="45"/>
      <c r="J29" s="45"/>
      <c r="K29" s="45"/>
      <c r="L29" s="45"/>
      <c r="M29" s="45"/>
      <c r="N29" s="45"/>
      <c r="O29" s="45"/>
      <c r="P29" s="45"/>
      <c r="Q29" s="45"/>
    </row>
    <row r="30" spans="6:17" ht="12.75">
      <c r="F30" s="4"/>
      <c r="G30" s="47"/>
      <c r="H30" s="47"/>
      <c r="I30" s="45"/>
      <c r="J30" s="45"/>
      <c r="K30" s="45"/>
      <c r="L30" s="45"/>
      <c r="M30" s="45"/>
      <c r="N30" s="45"/>
      <c r="O30" s="45"/>
      <c r="P30" s="45"/>
      <c r="Q30" s="45"/>
    </row>
    <row r="31" spans="6:17" ht="12.75">
      <c r="F31" s="4"/>
      <c r="G31" s="47"/>
      <c r="H31" s="47"/>
      <c r="I31" s="45"/>
      <c r="J31" s="45"/>
      <c r="K31" s="45"/>
      <c r="L31" s="45"/>
      <c r="M31" s="45"/>
      <c r="N31" s="45"/>
      <c r="O31" s="45"/>
      <c r="P31" s="45"/>
      <c r="Q31" s="45"/>
    </row>
    <row r="32" spans="6:17" ht="12.75">
      <c r="F32" s="4"/>
      <c r="G32" s="47"/>
      <c r="H32" s="47"/>
      <c r="I32" s="45"/>
      <c r="J32" s="45"/>
      <c r="K32" s="45"/>
      <c r="L32" s="45"/>
      <c r="M32" s="45"/>
      <c r="N32" s="45"/>
      <c r="O32" s="45"/>
      <c r="P32" s="45"/>
      <c r="Q32" s="45"/>
    </row>
    <row r="33" spans="6:17" ht="12.75">
      <c r="F33" s="4"/>
      <c r="G33" s="47"/>
      <c r="H33" s="47"/>
      <c r="I33" s="45"/>
      <c r="J33" s="45"/>
      <c r="K33" s="45"/>
      <c r="L33" s="45"/>
      <c r="M33" s="45"/>
      <c r="N33" s="45"/>
      <c r="O33" s="45"/>
      <c r="P33" s="45"/>
      <c r="Q33" s="45"/>
    </row>
    <row r="34" spans="6:17" ht="12.75">
      <c r="F34" s="4"/>
      <c r="G34" s="47"/>
      <c r="H34" s="47"/>
      <c r="I34" s="45"/>
      <c r="J34" s="45"/>
      <c r="K34" s="45"/>
      <c r="L34" s="45"/>
      <c r="M34" s="45"/>
      <c r="N34" s="45"/>
      <c r="O34" s="45"/>
      <c r="P34" s="45"/>
      <c r="Q34" s="45"/>
    </row>
    <row r="35" spans="6:17" ht="12.75">
      <c r="F35" s="4"/>
      <c r="G35" s="47"/>
      <c r="H35" s="47"/>
      <c r="I35" s="45"/>
      <c r="J35" s="45"/>
      <c r="K35" s="45"/>
      <c r="L35" s="45"/>
      <c r="M35" s="45"/>
      <c r="N35" s="45"/>
      <c r="O35" s="45"/>
      <c r="P35" s="45"/>
      <c r="Q35" s="45"/>
    </row>
    <row r="36" spans="6:17" ht="12.75">
      <c r="F36" s="4"/>
      <c r="G36" s="47"/>
      <c r="H36" s="47"/>
      <c r="I36" s="45"/>
      <c r="J36" s="45"/>
      <c r="K36" s="45"/>
      <c r="L36" s="45"/>
      <c r="M36" s="45"/>
      <c r="N36" s="45"/>
      <c r="O36" s="45"/>
      <c r="P36" s="45"/>
      <c r="Q36" s="45"/>
    </row>
    <row r="37" spans="6:17" ht="12.75">
      <c r="F37" s="4"/>
      <c r="G37" s="47"/>
      <c r="H37" s="47"/>
      <c r="I37" s="45"/>
      <c r="J37" s="45"/>
      <c r="K37" s="45"/>
      <c r="L37" s="45"/>
      <c r="M37" s="45"/>
      <c r="N37" s="45"/>
      <c r="O37" s="45"/>
      <c r="P37" s="45"/>
      <c r="Q37" s="45"/>
    </row>
    <row r="38" spans="6:17" ht="12.75">
      <c r="F38" s="4"/>
      <c r="G38" s="47"/>
      <c r="H38" s="47"/>
      <c r="I38" s="45"/>
      <c r="J38" s="45"/>
      <c r="K38" s="45"/>
      <c r="L38" s="45"/>
      <c r="M38" s="45"/>
      <c r="N38" s="45"/>
      <c r="O38" s="45"/>
      <c r="P38" s="45"/>
      <c r="Q38" s="45"/>
    </row>
    <row r="39" spans="6:17" ht="12.75">
      <c r="F39" s="4"/>
      <c r="G39" s="47"/>
      <c r="H39" s="47"/>
      <c r="I39" s="45"/>
      <c r="J39" s="45"/>
      <c r="K39" s="45"/>
      <c r="L39" s="45"/>
      <c r="M39" s="45"/>
      <c r="N39" s="45"/>
      <c r="O39" s="45"/>
      <c r="P39" s="45"/>
      <c r="Q39" s="45"/>
    </row>
    <row r="40" spans="6:17" ht="12.75">
      <c r="F40" s="4"/>
      <c r="G40" s="47"/>
      <c r="H40" s="47"/>
      <c r="I40" s="45"/>
      <c r="J40" s="45"/>
      <c r="K40" s="45"/>
      <c r="L40" s="45"/>
      <c r="M40" s="45"/>
      <c r="N40" s="45"/>
      <c r="O40" s="45"/>
      <c r="P40" s="45"/>
      <c r="Q40" s="45"/>
    </row>
    <row r="41" spans="6:17" ht="12.75">
      <c r="F41" s="4"/>
      <c r="G41" s="47"/>
      <c r="H41" s="47"/>
      <c r="I41" s="45"/>
      <c r="J41" s="45"/>
      <c r="K41" s="45"/>
      <c r="L41" s="45"/>
      <c r="M41" s="45"/>
      <c r="N41" s="45"/>
      <c r="O41" s="45"/>
      <c r="P41" s="45"/>
      <c r="Q41" s="45"/>
    </row>
    <row r="42" spans="6:17" ht="12.75">
      <c r="F42" s="4"/>
      <c r="G42" s="47"/>
      <c r="H42" s="47"/>
      <c r="I42" s="45"/>
      <c r="J42" s="45"/>
      <c r="K42" s="45"/>
      <c r="L42" s="45"/>
      <c r="M42" s="45"/>
      <c r="N42" s="45"/>
      <c r="O42" s="45"/>
      <c r="P42" s="45"/>
      <c r="Q42" s="45"/>
    </row>
    <row r="43" spans="6:17" ht="12.75">
      <c r="F43" s="4"/>
      <c r="G43" s="47"/>
      <c r="H43" s="47"/>
      <c r="I43" s="45"/>
      <c r="J43" s="45"/>
      <c r="K43" s="45"/>
      <c r="L43" s="45"/>
      <c r="M43" s="45"/>
      <c r="N43" s="45"/>
      <c r="O43" s="45"/>
      <c r="P43" s="45"/>
      <c r="Q43" s="45"/>
    </row>
    <row r="44" spans="6:17" ht="12.75">
      <c r="F44" s="4"/>
      <c r="G44" s="47"/>
      <c r="H44" s="47"/>
      <c r="I44" s="45"/>
      <c r="J44" s="45"/>
      <c r="K44" s="45"/>
      <c r="L44" s="45"/>
      <c r="M44" s="45"/>
      <c r="N44" s="45"/>
      <c r="O44" s="45"/>
      <c r="P44" s="45"/>
      <c r="Q44" s="45"/>
    </row>
    <row r="45" spans="6:17" ht="12.75">
      <c r="F45" s="4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</row>
    <row r="46" spans="7:17" ht="12.75"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7:17" ht="12.75"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7:17" ht="12.75"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7:17" ht="12.75"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7:17" ht="12.75"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7:17" ht="12.75"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7:17" ht="12.75"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7:17" ht="12.75"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7:17" ht="12.75"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7:17" ht="12.75"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7:17" ht="12.75"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7:17" ht="12.75"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7:17" ht="12.75"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7:17" ht="12.75"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7:17" ht="12.75"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7:17" ht="12.75"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7:17" ht="12.75"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7:17" ht="12.75"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7:17" ht="12.75"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7:17" ht="12.75"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7:17" ht="12.75"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7:17" ht="12.75"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7:17" ht="12.75"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7:17" ht="12.75"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7:17" ht="12.75"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7:17" ht="12.7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7:17" ht="12.75"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7:17" ht="12.75"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7:17" ht="12.75"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7:17" ht="12.75"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7:17" ht="12.75"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7:17" ht="12.75"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7:17" ht="12.75"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7:17" ht="12.75"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7:17" ht="12.75"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7:17" ht="12.75"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7:17" ht="12.75"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7:17" ht="12.75"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7:17" ht="12.75"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7:17" ht="12.75"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7:17" ht="12.75"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7:17" ht="12.75"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7:17" ht="12.75"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7:17" ht="12.75"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7:17" ht="12.75"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7:17" ht="12.75"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7:17" ht="12.75"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7:17" ht="12.75"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7:17" ht="12.75"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7:17" ht="12.75"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7:17" ht="12.75"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7:17" ht="12.75"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7:17" ht="12.75"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7:17" ht="12.75"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7:17" ht="12.75"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7:17" ht="12.75"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7:17" ht="12.75"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7:17" ht="12.75"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7:17" ht="12.75"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7:17" ht="12.75"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7:17" ht="12.75"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7:17" ht="12.75"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7:17" ht="12.75"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7:17" ht="12.75"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7:17" ht="12.75"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7:17" ht="12.75"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7:17" ht="12.75"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7:17" ht="12.75"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7:17" ht="12.75"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7:17" ht="12.75"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7:17" ht="12.75"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7:17" ht="12.75"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7:17" ht="12.75"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7:17" ht="12.75"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7:17" ht="12.75"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7:17" ht="12.75"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7:17" ht="12.75"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7:17" ht="12.75"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7:17" ht="12.75"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7:17" ht="12.75"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7:17" ht="12.75"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7:17" ht="12.75"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7:17" ht="12.75"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7:17" ht="12.75"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7:17" ht="12.75"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7:17" ht="12.75"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7:17" ht="12.75"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7:17" ht="12.75"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7:17" ht="12.75"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7:17" ht="12.75"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7:17" ht="12.75"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7:17" ht="12.75"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7:17" ht="12.75"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7:17" ht="12.75"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7:17" ht="12.75"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7:17" ht="12.75"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7:17" ht="12.75"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7:17" ht="12.75"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7:17" ht="12.75"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7:17" ht="12.75"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7:17" ht="12.75"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7:17" ht="12.75"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7:17" ht="12.75"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7:17" ht="12.75"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7:17" ht="12.75"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7:17" ht="12.75"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7:17" ht="12.75"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7:17" ht="12.75"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7:17" ht="12.75"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7:17" ht="12.75"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7:17" ht="12.75"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7:17" ht="12.75"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7:17" ht="12.75"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7:17" ht="12.75"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7:17" ht="12.75"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7:17" ht="12.75"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7:17" ht="12.75"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7:17" ht="12.75"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7:17" ht="12.75"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7:17" ht="12.75"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7:17" ht="12.75"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7:17" ht="12.75"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7:17" ht="12.75"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7:17" ht="12.75"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7:17" ht="12.75"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7:17" ht="12.75"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7:17" ht="12.75"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7:17" ht="12.75"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7:17" ht="12.75"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7:17" ht="12.75"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7:17" ht="12.75"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7:17" ht="12.75"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7:17" ht="12.75"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7:17" ht="12.75"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7:17" ht="12.75"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7:17" ht="12.75"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7:17" ht="12.75"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7:17" ht="12.75"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7:17" ht="12.75"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7:17" ht="12.75"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7:17" ht="12.75"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7:17" ht="12.75"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7:17" ht="12.75"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7:17" ht="12.75"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7:17" ht="12.75"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7:17" ht="12.75"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7:17" ht="12.75"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7:17" ht="12.75"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7:17" ht="12.75"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7:17" ht="12.75"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7:17" ht="12.75"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7:17" ht="12.75"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7:17" ht="12.75"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7:17" ht="12.75"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7:17" ht="12.75"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7:17" ht="12.75"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7:17" ht="12.75"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7:17" ht="12.75"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7:17" ht="12.75"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7:17" ht="12.75"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7:17" ht="12.75"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7:17" ht="12.75"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7:17" ht="12.75"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7:17" ht="12.75"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7:17" ht="12.75"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7:17" ht="12.75"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7:17" ht="12.75"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7:17" ht="12.75"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7:17" ht="12.75"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7:17" ht="12.75"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7:17" ht="12.75"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7:17" ht="12.75"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7:17" ht="12.75"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7:17" ht="12.75"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7:17" ht="12.75"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7:17" ht="12.75"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7:17" ht="12.75"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7:17" ht="12.75"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7:17" ht="12.75"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7:17" ht="12.75"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7:17" ht="12.75"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7:17" ht="12.75"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7:17" ht="12.75"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7:17" ht="12.75"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7:17" ht="12.75"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7:17" ht="12.75"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7:17" ht="12.75"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7:17" ht="12.75"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7:17" ht="12.75"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7:17" ht="12.75"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7:17" ht="12.75"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7:17" ht="12.75"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7:17" ht="12.75"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7:17" ht="12.75"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7:17" ht="12.75"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7:17" ht="12.75"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7:17" ht="12.75"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7:17" ht="12.75"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7:17" ht="12.75"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7:17" ht="12.75"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7:17" ht="12.75"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7:17" ht="12.75"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7:17" ht="12.75"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7:17" ht="12.75"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7:17" ht="12.75"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7:17" ht="12.75"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7:17" ht="12.75"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7:17" ht="12.75"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7:17" ht="12.75"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7:17" ht="12.75"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7:17" ht="12.75"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7:17" ht="12.75"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7:17" ht="12.75"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7:17" ht="12.75"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7:17" ht="12.75"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7:17" ht="12.75"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7:17" ht="12.75"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7:17" ht="12.75"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7:17" ht="12.75"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7:17" ht="12.75"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7:17" ht="12.75"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7:17" ht="12.75"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7:17" ht="12.75"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7:17" ht="12.75"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7:17" ht="12.75"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7:17" ht="12.75"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7:17" ht="12.75"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7:17" ht="12.75"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7:17" ht="12.75"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7:17" ht="12.75"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7:17" ht="12.75"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7:17" ht="12.75"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7:17" ht="12.75"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7:17" ht="12.75"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7:17" ht="12.75"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7:17" ht="12.75"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7:17" ht="12.75"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7:17" ht="12.75"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7:17" ht="12.75"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7:17" ht="12.75"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7:17" ht="12.75"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7:17" ht="12.75"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7:17" ht="12.75"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7:17" ht="12.75"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7:17" ht="12.75"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7:17" ht="12.75"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7:17" ht="12.75"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7:17" ht="12.75"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7:17" ht="12.75"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7:17" ht="12.75"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7:17" ht="12.75"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7:17" ht="12.75"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7:17" ht="12.75"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7:17" ht="12.75"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7:17" ht="12.75"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7:17" ht="12.75"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7:17" ht="12.75"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7:17" ht="12.75"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7:17" ht="12.75"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7:17" ht="12.75"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7:17" ht="12.75"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7:17" ht="12.75"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7:17" ht="12.75"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7:17" ht="12.75"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7:17" ht="12.75"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7:17" ht="12.75"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7:17" ht="12.75"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</sheetData>
  <sheetProtection/>
  <mergeCells count="4">
    <mergeCell ref="E4:F4"/>
    <mergeCell ref="H4:I4"/>
    <mergeCell ref="D4:D5"/>
    <mergeCell ref="G4:G5"/>
  </mergeCells>
  <printOptions horizontalCentered="1" verticalCentered="1"/>
  <pageMargins left="0.7480314960629921" right="0.7480314960629921" top="0.984251968503937" bottom="0.984251968503937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85" zoomScaleNormal="85" zoomScalePageLayoutView="0" workbookViewId="0" topLeftCell="A19">
      <selection activeCell="B39" sqref="B39"/>
    </sheetView>
  </sheetViews>
  <sheetFormatPr defaultColWidth="11.421875" defaultRowHeight="12.75"/>
  <cols>
    <col min="1" max="1" width="41.140625" style="0" bestFit="1" customWidth="1"/>
    <col min="2" max="2" width="10.00390625" style="0" customWidth="1"/>
    <col min="3" max="3" width="10.421875" style="0" customWidth="1"/>
    <col min="4" max="4" width="11.28125" style="0" customWidth="1"/>
    <col min="5" max="5" width="13.140625" style="0" bestFit="1" customWidth="1"/>
    <col min="6" max="6" width="9.28125" style="0" customWidth="1"/>
    <col min="7" max="7" width="9.7109375" style="0" customWidth="1"/>
    <col min="8" max="8" width="12.140625" style="0" customWidth="1"/>
    <col min="9" max="10" width="9.8515625" style="0" customWidth="1"/>
  </cols>
  <sheetData>
    <row r="1" ht="12.75">
      <c r="A1" s="60" t="s">
        <v>134</v>
      </c>
    </row>
    <row r="2" ht="12.75">
      <c r="A2" s="60" t="s">
        <v>76</v>
      </c>
    </row>
    <row r="3" spans="1:10" ht="12.75">
      <c r="A3" s="60" t="s">
        <v>77</v>
      </c>
      <c r="I3" s="155" t="s">
        <v>78</v>
      </c>
      <c r="J3" s="156"/>
    </row>
    <row r="4" spans="1:10" s="135" customFormat="1" ht="48">
      <c r="A4" s="133" t="s">
        <v>60</v>
      </c>
      <c r="B4" s="134" t="s">
        <v>152</v>
      </c>
      <c r="C4" s="134" t="s">
        <v>149</v>
      </c>
      <c r="D4" s="134" t="s">
        <v>150</v>
      </c>
      <c r="E4" s="133" t="s">
        <v>151</v>
      </c>
      <c r="F4" s="133" t="s">
        <v>153</v>
      </c>
      <c r="G4" s="134" t="s">
        <v>79</v>
      </c>
      <c r="H4" s="134" t="s">
        <v>80</v>
      </c>
      <c r="I4" s="134" t="s">
        <v>154</v>
      </c>
      <c r="J4" s="134" t="s">
        <v>155</v>
      </c>
    </row>
    <row r="5" spans="1:10" ht="12.75">
      <c r="A5" s="61" t="s">
        <v>81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2.75">
      <c r="A6" s="62" t="s">
        <v>82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140" t="s">
        <v>5</v>
      </c>
      <c r="B7" s="37"/>
      <c r="C7" s="63"/>
      <c r="D7" s="63"/>
      <c r="E7" s="63"/>
      <c r="F7" s="63">
        <f>+E7-D7</f>
        <v>0</v>
      </c>
      <c r="G7" s="64"/>
      <c r="H7" s="63"/>
      <c r="I7" s="63">
        <f>IF(F7&gt;0,(G7+H7)*F7,"")</f>
      </c>
      <c r="J7" s="63">
        <f>IF(F7&lt;0,(G7+H7)*F7,"")</f>
      </c>
    </row>
    <row r="8" spans="1:10" ht="12.75">
      <c r="A8" s="141" t="s">
        <v>87</v>
      </c>
      <c r="B8" s="136">
        <f>+'Cedula elementos REALES'!D32</f>
        <v>29000</v>
      </c>
      <c r="C8" s="69">
        <f>+'Hoja Tecnica de Costo STD'!E8</f>
        <v>0.005</v>
      </c>
      <c r="D8" s="63">
        <f>+B8*C8</f>
        <v>145</v>
      </c>
      <c r="E8" s="63"/>
      <c r="F8" s="63"/>
      <c r="G8" s="64"/>
      <c r="H8" s="63"/>
      <c r="I8" s="63">
        <f>IF(F8&gt;0,(G8+H8)*F8,"")</f>
      </c>
      <c r="J8" s="63">
        <f>IF(F8&lt;0,(G8+H8)*F8,"")</f>
      </c>
    </row>
    <row r="9" spans="1:10" ht="12.75">
      <c r="A9" s="141" t="s">
        <v>89</v>
      </c>
      <c r="B9" s="136">
        <f>+'Cedula elementos REALES'!D26</f>
        <v>40000</v>
      </c>
      <c r="C9" s="69">
        <f>+'Hoja Tecnica de Costo STD'!F8</f>
        <v>0.0025</v>
      </c>
      <c r="D9" s="65">
        <f>+B9*C9</f>
        <v>100</v>
      </c>
      <c r="E9" s="63"/>
      <c r="F9" s="63"/>
      <c r="G9" s="64"/>
      <c r="H9" s="63"/>
      <c r="I9" s="63">
        <f>IF(F9&gt;0,(G9+H9)*F9,"")</f>
      </c>
      <c r="J9" s="63">
        <f>IF(F9&lt;0,(G9+H9)*F9,"")</f>
      </c>
    </row>
    <row r="10" spans="1:10" ht="12.75">
      <c r="A10" s="7"/>
      <c r="B10" s="136"/>
      <c r="C10" s="63"/>
      <c r="D10" s="63">
        <f>SUM(D8:D9)</f>
        <v>245</v>
      </c>
      <c r="E10" s="63">
        <v>245.1</v>
      </c>
      <c r="F10" s="63">
        <f>+E10-D10</f>
        <v>0.09999999999999432</v>
      </c>
      <c r="G10" s="67">
        <f>+'Hoja Tecnica de Costo STD'!G8</f>
        <v>1000</v>
      </c>
      <c r="H10" s="63"/>
      <c r="I10" s="63">
        <f>IF(F10&gt;0,(G10+H10)*F10,"")</f>
        <v>99.99999999999432</v>
      </c>
      <c r="J10" s="63">
        <f>IF(F10&lt;0,(G10+H10)*ABS(F10),"")</f>
      </c>
    </row>
    <row r="11" spans="1:10" ht="12.75">
      <c r="A11" s="140" t="s">
        <v>9</v>
      </c>
      <c r="B11" s="136"/>
      <c r="C11" s="63"/>
      <c r="D11" s="63"/>
      <c r="E11" s="63"/>
      <c r="F11" s="63"/>
      <c r="G11" s="67"/>
      <c r="H11" s="63"/>
      <c r="I11" s="63">
        <f aca="true" t="shared" si="0" ref="I11:I18">IF(F11&gt;0,(G11+H11)*F11,"")</f>
      </c>
      <c r="J11" s="63">
        <f aca="true" t="shared" si="1" ref="J11:J18">IF(F11&lt;0,(G11+H11)*ABS(F11),"")</f>
      </c>
    </row>
    <row r="12" spans="1:10" ht="12.75">
      <c r="A12" s="141" t="s">
        <v>87</v>
      </c>
      <c r="B12" s="136">
        <f>+'Cedula elementos REALES'!D32</f>
        <v>29000</v>
      </c>
      <c r="C12" s="69">
        <f>+'Hoja Tecnica de Costo STD'!E9</f>
        <v>0.0025</v>
      </c>
      <c r="D12" s="63">
        <f>+B12*C12</f>
        <v>72.5</v>
      </c>
      <c r="E12" s="63"/>
      <c r="F12" s="63"/>
      <c r="G12" s="67"/>
      <c r="H12" s="63"/>
      <c r="I12" s="63">
        <f t="shared" si="0"/>
      </c>
      <c r="J12" s="63">
        <f t="shared" si="1"/>
      </c>
    </row>
    <row r="13" spans="1:10" ht="12.75">
      <c r="A13" s="141" t="s">
        <v>89</v>
      </c>
      <c r="B13" s="136">
        <f>+'Cedula elementos REALES'!D26</f>
        <v>40000</v>
      </c>
      <c r="C13" s="69">
        <f>+'Hoja Tecnica de Costo STD'!F9</f>
        <v>0.00125</v>
      </c>
      <c r="D13" s="65">
        <f>+B13*C13</f>
        <v>50</v>
      </c>
      <c r="E13" s="63"/>
      <c r="F13" s="63"/>
      <c r="G13" s="67"/>
      <c r="H13" s="63"/>
      <c r="I13" s="63">
        <f t="shared" si="0"/>
      </c>
      <c r="J13" s="63">
        <f t="shared" si="1"/>
      </c>
    </row>
    <row r="14" spans="1:10" ht="12.75">
      <c r="A14" s="7"/>
      <c r="B14" s="136"/>
      <c r="C14" s="63"/>
      <c r="D14" s="63">
        <f>SUM(D12:D13)</f>
        <v>122.5</v>
      </c>
      <c r="E14" s="63">
        <v>123</v>
      </c>
      <c r="F14" s="63">
        <f>+E14-D14</f>
        <v>0.5</v>
      </c>
      <c r="G14" s="67">
        <f>+'Hoja Tecnica de Costo STD'!G9</f>
        <v>500</v>
      </c>
      <c r="H14" s="63"/>
      <c r="I14" s="63">
        <f t="shared" si="0"/>
        <v>250</v>
      </c>
      <c r="J14" s="63">
        <f t="shared" si="1"/>
      </c>
    </row>
    <row r="15" spans="1:10" ht="12.75">
      <c r="A15" s="140" t="s">
        <v>12</v>
      </c>
      <c r="B15" s="136"/>
      <c r="C15" s="63"/>
      <c r="D15" s="63"/>
      <c r="E15" s="63"/>
      <c r="F15" s="63"/>
      <c r="G15" s="67"/>
      <c r="H15" s="63"/>
      <c r="I15" s="63"/>
      <c r="J15" s="63"/>
    </row>
    <row r="16" spans="1:10" ht="12.75">
      <c r="A16" s="141" t="s">
        <v>87</v>
      </c>
      <c r="B16" s="136">
        <f>+'Cedula elementos REALES'!D32</f>
        <v>29000</v>
      </c>
      <c r="C16" s="69">
        <f>+'Hoja Tecnica de Costo STD'!E10</f>
        <v>0.2</v>
      </c>
      <c r="D16" s="63">
        <f>+B16*C16</f>
        <v>5800</v>
      </c>
      <c r="E16" s="63"/>
      <c r="F16" s="63"/>
      <c r="G16" s="67"/>
      <c r="H16" s="63"/>
      <c r="I16" s="63"/>
      <c r="J16" s="63"/>
    </row>
    <row r="17" spans="1:10" ht="12.75">
      <c r="A17" s="141" t="s">
        <v>89</v>
      </c>
      <c r="B17" s="136">
        <f>+'Cedula elementos REALES'!D26</f>
        <v>40000</v>
      </c>
      <c r="C17" s="69">
        <f>+'Hoja Tecnica de Costo STD'!F10</f>
        <v>0.1</v>
      </c>
      <c r="D17" s="65">
        <f>+B17*C17</f>
        <v>4000</v>
      </c>
      <c r="E17" s="63"/>
      <c r="F17" s="63"/>
      <c r="G17" s="67"/>
      <c r="H17" s="63"/>
      <c r="I17" s="63"/>
      <c r="J17" s="63"/>
    </row>
    <row r="18" spans="1:10" ht="12.75">
      <c r="A18" s="7"/>
      <c r="B18" s="136"/>
      <c r="C18" s="63"/>
      <c r="D18" s="63">
        <f>SUM(D16:D17)</f>
        <v>9800</v>
      </c>
      <c r="E18" s="63">
        <v>9810</v>
      </c>
      <c r="F18" s="63">
        <f>+E18-D18</f>
        <v>10</v>
      </c>
      <c r="G18" s="67">
        <f>+'Hoja Tecnica de Costo STD'!G10</f>
        <v>10</v>
      </c>
      <c r="H18" s="63"/>
      <c r="I18" s="63">
        <f t="shared" si="0"/>
        <v>100</v>
      </c>
      <c r="J18" s="63">
        <f t="shared" si="1"/>
      </c>
    </row>
    <row r="19" spans="1:10" ht="12.75">
      <c r="A19" s="140" t="s">
        <v>159</v>
      </c>
      <c r="B19" s="136"/>
      <c r="C19" s="63"/>
      <c r="D19" s="63"/>
      <c r="E19" s="63"/>
      <c r="F19" s="63"/>
      <c r="G19" s="67"/>
      <c r="H19" s="63"/>
      <c r="I19" s="63"/>
      <c r="J19" s="63"/>
    </row>
    <row r="20" spans="1:10" ht="12.75">
      <c r="A20" s="141" t="s">
        <v>87</v>
      </c>
      <c r="B20" s="136">
        <f>+B16</f>
        <v>29000</v>
      </c>
      <c r="C20" s="69">
        <f>+'Hoja Tecnica de Costo STD'!E12</f>
        <v>1</v>
      </c>
      <c r="D20" s="63">
        <f>+B20*C20</f>
        <v>29000</v>
      </c>
      <c r="E20" s="63">
        <v>29000</v>
      </c>
      <c r="F20" s="63">
        <f>+E20-D20</f>
        <v>0</v>
      </c>
      <c r="G20" s="67">
        <f>+'Hoja Tecnica de Costo STD'!G12</f>
        <v>0.1</v>
      </c>
      <c r="H20" s="63"/>
      <c r="I20" s="63">
        <f>IF(F20&gt;0,(G20+H20)*F20,"")</f>
      </c>
      <c r="J20" s="63">
        <f>IF(F20&lt;0,(G20+H20)*ABS(F20),"")</f>
      </c>
    </row>
    <row r="21" spans="1:10" ht="12.75">
      <c r="A21" s="141"/>
      <c r="B21" s="136"/>
      <c r="C21" s="69"/>
      <c r="D21" s="63"/>
      <c r="E21" s="63"/>
      <c r="F21" s="63"/>
      <c r="G21" s="67"/>
      <c r="H21" s="63"/>
      <c r="I21" s="63"/>
      <c r="J21" s="63"/>
    </row>
    <row r="22" spans="1:10" ht="12.75">
      <c r="A22" s="140" t="s">
        <v>159</v>
      </c>
      <c r="B22" s="136"/>
      <c r="C22" s="69"/>
      <c r="D22" s="63"/>
      <c r="E22" s="63"/>
      <c r="F22" s="63"/>
      <c r="G22" s="67"/>
      <c r="H22" s="63"/>
      <c r="I22" s="63"/>
      <c r="J22" s="63"/>
    </row>
    <row r="23" spans="1:10" ht="12.75">
      <c r="A23" s="141" t="s">
        <v>89</v>
      </c>
      <c r="B23" s="136">
        <f>+B17</f>
        <v>40000</v>
      </c>
      <c r="C23" s="69">
        <f>+'Hoja Tecnica de Costo STD'!F11</f>
        <v>1</v>
      </c>
      <c r="D23" s="63">
        <f>+B23*C23</f>
        <v>40000</v>
      </c>
      <c r="E23" s="63">
        <v>40000</v>
      </c>
      <c r="F23" s="63">
        <f>+E23-D23</f>
        <v>0</v>
      </c>
      <c r="G23" s="68">
        <f>+'Hoja Tecnica de Costo STD'!G11</f>
        <v>0.075</v>
      </c>
      <c r="H23" s="63"/>
      <c r="I23" s="63">
        <f>IF(F23&gt;0,(G23+H23)*F23,"")</f>
      </c>
      <c r="J23" s="63">
        <f>IF(F23&lt;0,(G23+H23)*ABS(F23),"")</f>
      </c>
    </row>
    <row r="24" spans="1:10" ht="12.75">
      <c r="A24" s="7"/>
      <c r="B24" s="37"/>
      <c r="C24" s="63"/>
      <c r="D24" s="63"/>
      <c r="E24" s="63"/>
      <c r="F24" s="63"/>
      <c r="G24" s="64"/>
      <c r="H24" s="63"/>
      <c r="I24" s="65">
        <f>IF(F24&gt;0,(G24+H24)*F24,"")</f>
      </c>
      <c r="J24" s="65">
        <f>IF(F24&lt;0,(G24+H24)*ABS(F24),"")</f>
      </c>
    </row>
    <row r="25" spans="1:10" ht="12.75">
      <c r="A25" s="40" t="s">
        <v>156</v>
      </c>
      <c r="B25" s="40"/>
      <c r="C25" s="63"/>
      <c r="D25" s="63"/>
      <c r="E25" s="63"/>
      <c r="F25" s="63"/>
      <c r="G25" s="63"/>
      <c r="H25" s="63"/>
      <c r="I25" s="66">
        <f>SUM(I7:I24)</f>
        <v>449.9999999999943</v>
      </c>
      <c r="J25" s="66">
        <f>SUM(J7:J24)</f>
        <v>0</v>
      </c>
    </row>
    <row r="26" spans="1:10" ht="12.75">
      <c r="A26" s="40"/>
      <c r="B26" s="40"/>
      <c r="C26" s="63"/>
      <c r="D26" s="63"/>
      <c r="E26" s="63"/>
      <c r="F26" s="63"/>
      <c r="G26" s="63"/>
      <c r="H26" s="63"/>
      <c r="I26" s="63"/>
      <c r="J26" s="63"/>
    </row>
    <row r="27" spans="1:10" ht="12.75">
      <c r="A27" s="62" t="s">
        <v>158</v>
      </c>
      <c r="B27" s="40"/>
      <c r="C27" s="63"/>
      <c r="D27" s="63"/>
      <c r="E27" s="63"/>
      <c r="F27" s="63"/>
      <c r="G27" s="63"/>
      <c r="H27" s="63"/>
      <c r="I27" s="63"/>
      <c r="J27" s="63"/>
    </row>
    <row r="28" spans="1:12" ht="12.75">
      <c r="A28" s="7" t="s">
        <v>5</v>
      </c>
      <c r="B28" s="37"/>
      <c r="C28" s="63"/>
      <c r="D28" s="63">
        <f>+'Hoja Tecnica de Costo STD'!G8</f>
        <v>1000</v>
      </c>
      <c r="E28" s="63">
        <v>1002</v>
      </c>
      <c r="F28" s="63">
        <f>+E28-D28</f>
        <v>2</v>
      </c>
      <c r="G28" s="63"/>
      <c r="H28" s="63">
        <f>E10</f>
        <v>245.1</v>
      </c>
      <c r="I28" s="63">
        <f aca="true" t="shared" si="2" ref="I28:I33">IF(F28&gt;0,(G28+H28)*F28,"")</f>
        <v>490.2</v>
      </c>
      <c r="J28" s="63">
        <f>IF(F28&lt;0,(G28+H28)*ABS(F28),"")</f>
      </c>
      <c r="L28" s="73"/>
    </row>
    <row r="29" spans="1:10" ht="12.75">
      <c r="A29" s="7" t="s">
        <v>9</v>
      </c>
      <c r="B29" s="37"/>
      <c r="C29" s="63"/>
      <c r="D29" s="63">
        <f>+'Hoja Tecnica de Costo STD'!G9</f>
        <v>500</v>
      </c>
      <c r="E29" s="63">
        <v>498</v>
      </c>
      <c r="F29" s="63">
        <f>+E29-D29</f>
        <v>-2</v>
      </c>
      <c r="G29" s="63"/>
      <c r="H29" s="63">
        <f>+E14</f>
        <v>123</v>
      </c>
      <c r="I29" s="67">
        <f t="shared" si="2"/>
      </c>
      <c r="J29" s="63">
        <f>IF(F29&lt;0,(G29+H29)*ABS(F29),"")</f>
        <v>246</v>
      </c>
    </row>
    <row r="30" spans="1:10" ht="12.75">
      <c r="A30" s="7" t="s">
        <v>12</v>
      </c>
      <c r="B30" s="37"/>
      <c r="C30" s="63"/>
      <c r="D30" s="67">
        <f>+'Hoja Tecnica de Costo STD'!G10</f>
        <v>10</v>
      </c>
      <c r="E30" s="67">
        <v>10.03</v>
      </c>
      <c r="F30" s="67">
        <f>+E30-D30</f>
        <v>0.02999999999999936</v>
      </c>
      <c r="G30" s="63"/>
      <c r="H30" s="63">
        <f>+E18</f>
        <v>9810</v>
      </c>
      <c r="I30" s="67">
        <f t="shared" si="2"/>
        <v>294.2999999999937</v>
      </c>
      <c r="J30" s="67">
        <f>IF(F30&lt;0,(G30+H30)*ABS(F30),"")</f>
      </c>
    </row>
    <row r="31" spans="1:10" ht="12.75">
      <c r="A31" s="7" t="s">
        <v>162</v>
      </c>
      <c r="B31" s="37"/>
      <c r="C31" s="63"/>
      <c r="D31" s="67">
        <f>+G20</f>
        <v>0.1</v>
      </c>
      <c r="E31" s="67">
        <v>0.1</v>
      </c>
      <c r="F31" s="67">
        <f>+E31-D31</f>
        <v>0</v>
      </c>
      <c r="G31" s="63"/>
      <c r="H31" s="63">
        <f>+E20</f>
        <v>29000</v>
      </c>
      <c r="I31" s="67">
        <f t="shared" si="2"/>
      </c>
      <c r="J31" s="67">
        <f>IF(F31&lt;0,(G31+H31)*ABS(F31),"")</f>
      </c>
    </row>
    <row r="32" spans="1:10" ht="12.75">
      <c r="A32" s="7" t="s">
        <v>161</v>
      </c>
      <c r="B32" s="37"/>
      <c r="C32" s="63"/>
      <c r="D32" s="68">
        <f>+G23</f>
        <v>0.075</v>
      </c>
      <c r="E32" s="68">
        <v>0.075</v>
      </c>
      <c r="F32" s="67">
        <f>+E32-D32</f>
        <v>0</v>
      </c>
      <c r="G32" s="63"/>
      <c r="H32" s="63">
        <f>+E23</f>
        <v>40000</v>
      </c>
      <c r="I32" s="67">
        <f t="shared" si="2"/>
      </c>
      <c r="J32" s="67">
        <f>IF(F32&lt;0,(G32+H32)*ABS(F32),"")</f>
      </c>
    </row>
    <row r="33" spans="1:10" ht="12.75">
      <c r="A33" s="7"/>
      <c r="B33" s="40"/>
      <c r="C33" s="63"/>
      <c r="D33" s="63"/>
      <c r="E33" s="63"/>
      <c r="F33" s="68"/>
      <c r="G33" s="63"/>
      <c r="H33" s="63"/>
      <c r="I33" s="65">
        <f t="shared" si="2"/>
      </c>
      <c r="J33" s="65">
        <f>IF(F33&lt;0,(G33+H33)*F33,"")</f>
      </c>
    </row>
    <row r="34" spans="1:10" ht="12.75">
      <c r="A34" s="40" t="s">
        <v>157</v>
      </c>
      <c r="B34" s="40"/>
      <c r="C34" s="63"/>
      <c r="D34" s="63"/>
      <c r="E34" s="63"/>
      <c r="F34" s="63"/>
      <c r="G34" s="63"/>
      <c r="H34" s="63"/>
      <c r="I34" s="66">
        <f>SUM(I27:I30)</f>
        <v>784.4999999999936</v>
      </c>
      <c r="J34" s="66">
        <f>SUM(J27:J30)</f>
        <v>246</v>
      </c>
    </row>
    <row r="35" spans="1:12" ht="12.75">
      <c r="A35" s="40" t="s">
        <v>160</v>
      </c>
      <c r="B35" s="40"/>
      <c r="C35" s="63"/>
      <c r="D35" s="63"/>
      <c r="E35" s="63"/>
      <c r="F35" s="63"/>
      <c r="G35" s="63"/>
      <c r="H35" s="63"/>
      <c r="I35" s="66"/>
      <c r="J35" s="66">
        <f>+I34-J34</f>
        <v>538.4999999999936</v>
      </c>
      <c r="L35" s="73"/>
    </row>
    <row r="36" spans="1:10" ht="12.75">
      <c r="A36" s="40"/>
      <c r="B36" s="40"/>
      <c r="C36" s="63"/>
      <c r="D36" s="63"/>
      <c r="E36" s="63"/>
      <c r="F36" s="63"/>
      <c r="G36" s="63"/>
      <c r="H36" s="63"/>
      <c r="I36" s="63"/>
      <c r="J36" s="63"/>
    </row>
    <row r="37" spans="1:10" ht="12.75">
      <c r="A37" s="62" t="s">
        <v>83</v>
      </c>
      <c r="B37" s="40"/>
      <c r="C37" s="63"/>
      <c r="D37" s="63"/>
      <c r="E37" s="63"/>
      <c r="F37" s="63"/>
      <c r="G37" s="63"/>
      <c r="H37" s="63"/>
      <c r="I37" s="63"/>
      <c r="J37" s="63"/>
    </row>
    <row r="38" spans="1:10" ht="12.75">
      <c r="A38" s="62" t="s">
        <v>82</v>
      </c>
      <c r="B38" s="40"/>
      <c r="C38" s="63"/>
      <c r="D38" s="63"/>
      <c r="E38" s="63"/>
      <c r="F38" s="63"/>
      <c r="G38" s="63"/>
      <c r="H38" s="63"/>
      <c r="I38" s="63">
        <f aca="true" t="shared" si="3" ref="I38:I43">IF(F38&gt;0,(G38+H38)*F38,"")</f>
      </c>
      <c r="J38" s="63">
        <f aca="true" t="shared" si="4" ref="J38:J43">IF(F38&lt;0,(G38+H38)*ABS(F38),"")</f>
      </c>
    </row>
    <row r="39" spans="1:10" ht="12.75">
      <c r="A39" s="141" t="s">
        <v>87</v>
      </c>
      <c r="B39" s="137">
        <f>+'Cedula elementos REALES'!D33</f>
        <v>28920</v>
      </c>
      <c r="C39" s="64">
        <f>+'Hoja Tecnica de Costo STD'!E15</f>
        <v>0.1</v>
      </c>
      <c r="D39" s="63">
        <f>+B39*C39</f>
        <v>2892</v>
      </c>
      <c r="E39" s="63"/>
      <c r="F39" s="63"/>
      <c r="G39" s="63"/>
      <c r="H39" s="63"/>
      <c r="I39" s="63">
        <f t="shared" si="3"/>
      </c>
      <c r="J39" s="63">
        <f t="shared" si="4"/>
      </c>
    </row>
    <row r="40" spans="1:10" ht="12.75">
      <c r="A40" s="141" t="s">
        <v>89</v>
      </c>
      <c r="B40" s="137">
        <f>+'Cedula elementos REALES'!D27</f>
        <v>39800</v>
      </c>
      <c r="C40" s="64">
        <f>+'Hoja Tecnica de Costo STD'!F15</f>
        <v>0.06</v>
      </c>
      <c r="D40" s="65">
        <f>+B40*C40</f>
        <v>2388</v>
      </c>
      <c r="E40" s="63"/>
      <c r="F40" s="63"/>
      <c r="G40" s="63"/>
      <c r="H40" s="63"/>
      <c r="I40" s="63">
        <f t="shared" si="3"/>
      </c>
      <c r="J40" s="63">
        <f t="shared" si="4"/>
      </c>
    </row>
    <row r="41" spans="1:10" ht="12.75">
      <c r="A41" s="141"/>
      <c r="B41" s="38"/>
      <c r="C41" s="63"/>
      <c r="D41" s="63">
        <f>SUM(D39:D40)</f>
        <v>5280</v>
      </c>
      <c r="E41" s="63">
        <f>+'Cedula elementos REALES'!J19</f>
        <v>5250</v>
      </c>
      <c r="F41" s="63">
        <f>+E41-D41</f>
        <v>-30</v>
      </c>
      <c r="G41" s="63">
        <f>+'Hoja Tecnica de Costo STD'!G15</f>
        <v>17</v>
      </c>
      <c r="H41" s="63"/>
      <c r="I41" s="63">
        <f>IF(F41&gt;0,(G41+H41)*F41,"")</f>
      </c>
      <c r="J41" s="63">
        <f>IF(F41&lt;0,(G41+H41)*ABS(F41),"")</f>
        <v>510</v>
      </c>
    </row>
    <row r="42" spans="1:10" ht="12.75">
      <c r="A42" s="40"/>
      <c r="B42" s="40"/>
      <c r="C42" s="63"/>
      <c r="D42" s="63"/>
      <c r="E42" s="63"/>
      <c r="F42" s="63">
        <f>+E42-D42</f>
        <v>0</v>
      </c>
      <c r="G42" s="63"/>
      <c r="H42" s="63"/>
      <c r="I42" s="63">
        <f t="shared" si="3"/>
      </c>
      <c r="J42" s="63">
        <f t="shared" si="4"/>
      </c>
    </row>
    <row r="43" spans="1:10" ht="12.75">
      <c r="A43" s="62" t="s">
        <v>158</v>
      </c>
      <c r="B43" s="40"/>
      <c r="C43" s="63"/>
      <c r="D43" s="63">
        <f>+'Hoja Tecnica de Costo STD'!G15</f>
        <v>17</v>
      </c>
      <c r="E43" s="63">
        <f>+'Cedula elementos REALES'!H49</f>
        <v>17.02</v>
      </c>
      <c r="F43" s="63">
        <f>+E43-D43</f>
        <v>0.019999999999999574</v>
      </c>
      <c r="G43" s="63"/>
      <c r="H43" s="63">
        <f>+E41</f>
        <v>5250</v>
      </c>
      <c r="I43" s="63">
        <f t="shared" si="3"/>
        <v>104.99999999999775</v>
      </c>
      <c r="J43" s="63">
        <f t="shared" si="4"/>
      </c>
    </row>
    <row r="44" spans="1:10" ht="12.75">
      <c r="A44" s="40"/>
      <c r="B44" s="40"/>
      <c r="C44" s="63"/>
      <c r="D44" s="63"/>
      <c r="E44" s="63"/>
      <c r="F44" s="63"/>
      <c r="G44" s="63"/>
      <c r="H44" s="63"/>
      <c r="I44" s="65"/>
      <c r="J44" s="65"/>
    </row>
    <row r="45" spans="1:10" ht="12.75">
      <c r="A45" s="79" t="s">
        <v>84</v>
      </c>
      <c r="B45" s="40"/>
      <c r="C45" s="63"/>
      <c r="D45" s="63"/>
      <c r="E45" s="63"/>
      <c r="F45" s="63"/>
      <c r="G45" s="63"/>
      <c r="H45" s="63"/>
      <c r="I45" s="66">
        <f>SUM(I37:I44)</f>
        <v>104.99999999999775</v>
      </c>
      <c r="J45" s="66">
        <f>SUM(J37:J44)</f>
        <v>510</v>
      </c>
    </row>
    <row r="46" spans="1:10" ht="12.7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2.7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.75">
      <c r="A48" s="62" t="s">
        <v>45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12.75">
      <c r="A49" s="62" t="s">
        <v>82</v>
      </c>
      <c r="B49" s="40"/>
      <c r="C49" s="38">
        <f>+C38</f>
        <v>0</v>
      </c>
      <c r="D49" s="63"/>
      <c r="E49" s="38"/>
      <c r="F49" s="63"/>
      <c r="G49" s="38"/>
      <c r="H49" s="40"/>
      <c r="I49" s="63">
        <f aca="true" t="shared" si="5" ref="I49:I54">IF(F49&gt;0,(G49+H49)*F49,"")</f>
      </c>
      <c r="J49" s="67">
        <f aca="true" t="shared" si="6" ref="J49:J54">IF(F49&lt;0,(G49+H49)*ABS(F49),"")</f>
      </c>
    </row>
    <row r="50" spans="1:10" ht="12.75">
      <c r="A50" s="141" t="s">
        <v>87</v>
      </c>
      <c r="B50" s="137">
        <f>+'Cedula elementos REALES'!D33</f>
        <v>28920</v>
      </c>
      <c r="C50" s="52">
        <f>+'Hoja Tecnica de Costo STD'!E17</f>
        <v>0.1</v>
      </c>
      <c r="D50" s="63">
        <f>+B50*C50</f>
        <v>2892</v>
      </c>
      <c r="E50" s="38"/>
      <c r="F50" s="63"/>
      <c r="G50" s="38"/>
      <c r="H50" s="40"/>
      <c r="I50" s="63">
        <f t="shared" si="5"/>
      </c>
      <c r="J50" s="67">
        <f t="shared" si="6"/>
      </c>
    </row>
    <row r="51" spans="1:10" ht="12.75">
      <c r="A51" s="141" t="s">
        <v>89</v>
      </c>
      <c r="B51" s="137">
        <f>+'Cedula elementos REALES'!D27</f>
        <v>39800</v>
      </c>
      <c r="C51" s="52">
        <f>+'Hoja Tecnica de Costo STD'!F17</f>
        <v>0.06</v>
      </c>
      <c r="D51" s="65">
        <f>+B51*C51</f>
        <v>2388</v>
      </c>
      <c r="E51" s="38"/>
      <c r="F51" s="63"/>
      <c r="G51" s="38"/>
      <c r="H51" s="40"/>
      <c r="I51" s="63">
        <f t="shared" si="5"/>
      </c>
      <c r="J51" s="67">
        <f t="shared" si="6"/>
      </c>
    </row>
    <row r="52" spans="1:10" ht="12.75">
      <c r="A52" s="62"/>
      <c r="B52" s="40"/>
      <c r="C52" s="38"/>
      <c r="D52" s="63">
        <f>SUM(D50:D51)</f>
        <v>5280</v>
      </c>
      <c r="E52" s="38">
        <f>+'Cedula elementos REALES'!J19</f>
        <v>5250</v>
      </c>
      <c r="F52" s="63">
        <f>+E52-D52</f>
        <v>-30</v>
      </c>
      <c r="G52" s="38">
        <f>+'Hoja Tecnica de Costo STD'!G17</f>
        <v>20</v>
      </c>
      <c r="H52" s="40"/>
      <c r="I52" s="63">
        <f t="shared" si="5"/>
      </c>
      <c r="J52" s="67">
        <f t="shared" si="6"/>
        <v>600</v>
      </c>
    </row>
    <row r="53" spans="1:10" ht="12.75">
      <c r="A53" s="40"/>
      <c r="B53" s="40"/>
      <c r="C53" s="40"/>
      <c r="D53" s="40"/>
      <c r="E53" s="40"/>
      <c r="F53" s="40"/>
      <c r="G53" s="40"/>
      <c r="H53" s="40"/>
      <c r="I53" s="63">
        <f t="shared" si="5"/>
      </c>
      <c r="J53" s="67">
        <f t="shared" si="6"/>
      </c>
    </row>
    <row r="54" spans="1:10" ht="12.75">
      <c r="A54" s="62" t="s">
        <v>158</v>
      </c>
      <c r="B54" s="40"/>
      <c r="C54" s="40"/>
      <c r="D54" s="53">
        <f>+'Hoja Tecnica de Costo STD'!G17</f>
        <v>20</v>
      </c>
      <c r="E54" s="52">
        <f>+'Cedula elementos REALES'!H54</f>
        <v>19.98</v>
      </c>
      <c r="F54" s="68">
        <f>+E54-D54</f>
        <v>-0.019999999999999574</v>
      </c>
      <c r="G54" s="38"/>
      <c r="H54" s="38">
        <f>+E52</f>
        <v>5250</v>
      </c>
      <c r="I54" s="65">
        <f t="shared" si="5"/>
      </c>
      <c r="J54" s="70">
        <f t="shared" si="6"/>
        <v>104.99999999999775</v>
      </c>
    </row>
    <row r="55" spans="1:10" ht="12.75">
      <c r="A55" s="40"/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12.75">
      <c r="A56" s="79" t="s">
        <v>85</v>
      </c>
      <c r="B56" s="40"/>
      <c r="C56" s="40"/>
      <c r="D56" s="40"/>
      <c r="E56" s="40"/>
      <c r="F56" s="40"/>
      <c r="G56" s="40"/>
      <c r="H56" s="40"/>
      <c r="I56" s="71">
        <f>SUM(I49:I54)</f>
        <v>0</v>
      </c>
      <c r="J56" s="71">
        <f>SUM(J49:J54)</f>
        <v>704.9999999999977</v>
      </c>
    </row>
    <row r="57" spans="1:10" ht="12.75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1" ht="12.75">
      <c r="A58" s="40" t="s">
        <v>86</v>
      </c>
      <c r="B58" s="40"/>
      <c r="C58" s="40"/>
      <c r="D58" s="40"/>
      <c r="E58" s="40"/>
      <c r="F58" s="40"/>
      <c r="G58" s="40"/>
      <c r="H58" s="40"/>
      <c r="I58" s="71">
        <f>+I25+J35+I45+I56</f>
        <v>1093.4999999999857</v>
      </c>
      <c r="J58" s="71">
        <f>+J25+J45+J56</f>
        <v>1214.9999999999977</v>
      </c>
      <c r="K58" s="73"/>
    </row>
    <row r="59" spans="1:11" ht="12.75">
      <c r="A59" s="74" t="str">
        <f>IF((I58-J58)&gt;0,"VARIACION NETA DESFAVORABLE","VARIACION NETA FAVORABLE")</f>
        <v>VARIACION NETA FAVORABLE</v>
      </c>
      <c r="B59" s="40"/>
      <c r="C59" s="40"/>
      <c r="D59" s="40"/>
      <c r="E59" s="40"/>
      <c r="F59" s="40"/>
      <c r="G59" s="40"/>
      <c r="H59" s="7"/>
      <c r="I59" s="71">
        <f>IF((I58-J58)&gt;0,"",(J58-I58))</f>
        <v>121.50000000001205</v>
      </c>
      <c r="J59" s="75">
        <f>IF((J58-I58)&lt;0,(I58-J58),"")</f>
      </c>
      <c r="K59" s="73"/>
    </row>
    <row r="60" spans="1:10" ht="13.5" thickBot="1">
      <c r="A60" s="40" t="s">
        <v>28</v>
      </c>
      <c r="B60" s="40"/>
      <c r="C60" s="40"/>
      <c r="D60" s="40"/>
      <c r="E60" s="40"/>
      <c r="F60" s="40"/>
      <c r="G60" s="40"/>
      <c r="H60" s="7"/>
      <c r="I60" s="76">
        <f>SUM(I58:I59)</f>
        <v>1214.9999999999977</v>
      </c>
      <c r="J60" s="77">
        <f>SUM(J58:J59)</f>
        <v>1214.9999999999977</v>
      </c>
    </row>
    <row r="61" spans="1:10" ht="13.5" thickTop="1">
      <c r="A61" s="72"/>
      <c r="B61" s="72"/>
      <c r="C61" s="72"/>
      <c r="D61" s="72"/>
      <c r="E61" s="72"/>
      <c r="F61" s="72"/>
      <c r="G61" s="72"/>
      <c r="H61" s="72"/>
      <c r="I61" s="72"/>
      <c r="J61" s="72"/>
    </row>
  </sheetData>
  <sheetProtection/>
  <mergeCells count="1">
    <mergeCell ref="I3:J3"/>
  </mergeCells>
  <printOptions horizontalCentered="1" verticalCentered="1"/>
  <pageMargins left="0.75" right="0.75" top="0.25" bottom="0.34" header="0" footer="0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5" max="5" width="12.8515625" style="0" bestFit="1" customWidth="1"/>
    <col min="7" max="7" width="12.8515625" style="0" bestFit="1" customWidth="1"/>
    <col min="8" max="8" width="12.8515625" style="0" customWidth="1"/>
  </cols>
  <sheetData>
    <row r="1" spans="1:8" ht="12.75">
      <c r="A1" s="157" t="s">
        <v>134</v>
      </c>
      <c r="B1" s="157"/>
      <c r="C1" s="157"/>
      <c r="D1" s="157"/>
      <c r="E1" s="157"/>
      <c r="F1" s="157"/>
      <c r="G1" s="157"/>
      <c r="H1" s="157"/>
    </row>
    <row r="2" spans="1:8" ht="12.75">
      <c r="A2" s="157" t="s">
        <v>91</v>
      </c>
      <c r="B2" s="157"/>
      <c r="C2" s="157"/>
      <c r="D2" s="157"/>
      <c r="E2" s="157"/>
      <c r="F2" s="157"/>
      <c r="G2" s="157"/>
      <c r="H2" s="157"/>
    </row>
    <row r="3" spans="1:8" ht="12.75">
      <c r="A3" s="157" t="s">
        <v>163</v>
      </c>
      <c r="B3" s="157"/>
      <c r="C3" s="157"/>
      <c r="D3" s="157"/>
      <c r="E3" s="157"/>
      <c r="F3" s="157"/>
      <c r="G3" s="157"/>
      <c r="H3" s="157"/>
    </row>
    <row r="4" spans="1:8" ht="12.75">
      <c r="A4" s="157" t="s">
        <v>92</v>
      </c>
      <c r="B4" s="157"/>
      <c r="C4" s="157"/>
      <c r="D4" s="157"/>
      <c r="E4" s="157"/>
      <c r="F4" s="157"/>
      <c r="G4" s="157"/>
      <c r="H4" s="157"/>
    </row>
    <row r="7" spans="7:8" ht="12.75">
      <c r="G7" s="80" t="s">
        <v>93</v>
      </c>
      <c r="H7" s="81" t="s">
        <v>94</v>
      </c>
    </row>
    <row r="9" spans="1:11" ht="12.75">
      <c r="A9" s="1" t="s">
        <v>95</v>
      </c>
      <c r="F9" s="82"/>
      <c r="G9" s="83">
        <f>SUM(E10:E11)</f>
        <v>1164500</v>
      </c>
      <c r="H9" s="84">
        <v>1</v>
      </c>
      <c r="K9" s="138"/>
    </row>
    <row r="10" spans="1:11" ht="12.75">
      <c r="A10" s="1" t="s">
        <v>165</v>
      </c>
      <c r="C10" s="5"/>
      <c r="E10" s="73">
        <f>35000*24.1</f>
        <v>843500</v>
      </c>
      <c r="F10" s="82"/>
      <c r="G10" s="83"/>
      <c r="H10" s="84"/>
      <c r="K10" s="138"/>
    </row>
    <row r="11" spans="1:8" ht="12.75">
      <c r="A11" s="1" t="s">
        <v>173</v>
      </c>
      <c r="C11" s="5"/>
      <c r="E11" s="73">
        <f>25000*12.84</f>
        <v>321000</v>
      </c>
      <c r="F11" s="82"/>
      <c r="G11" s="83"/>
      <c r="H11" s="84"/>
    </row>
    <row r="12" spans="6:8" ht="12.75">
      <c r="F12" s="82"/>
      <c r="G12" s="85"/>
      <c r="H12" s="6"/>
    </row>
    <row r="13" spans="1:8" ht="12.75">
      <c r="A13" s="1" t="s">
        <v>96</v>
      </c>
      <c r="F13" s="82"/>
      <c r="G13" s="85"/>
      <c r="H13" s="6"/>
    </row>
    <row r="14" spans="1:8" ht="12.75">
      <c r="A14" s="1" t="s">
        <v>164</v>
      </c>
      <c r="E14" s="73">
        <f>-'Hoja Tecnica de Costo STD'!H19*35000</f>
        <v>-421750</v>
      </c>
      <c r="F14" s="82"/>
      <c r="G14" s="85"/>
      <c r="H14" s="6"/>
    </row>
    <row r="15" spans="1:8" ht="12.75">
      <c r="A15" s="1" t="s">
        <v>174</v>
      </c>
      <c r="E15" s="73">
        <f>-'Hoja Tecnica de Costo STD'!I19*25000</f>
        <v>-160500.00000000003</v>
      </c>
      <c r="F15" s="82"/>
      <c r="G15" s="86">
        <f>SUM(E14:F15)</f>
        <v>-582250</v>
      </c>
      <c r="H15" s="87">
        <v>0.5</v>
      </c>
    </row>
    <row r="16" spans="6:8" ht="12.75">
      <c r="F16" s="82"/>
      <c r="G16" s="85"/>
      <c r="H16" s="6"/>
    </row>
    <row r="17" spans="1:8" ht="12.75">
      <c r="A17" s="1" t="s">
        <v>172</v>
      </c>
      <c r="F17" s="82"/>
      <c r="G17" s="88">
        <f>SUM(G9:G15)</f>
        <v>582250</v>
      </c>
      <c r="H17" s="89">
        <f>+G17/G9</f>
        <v>0.5</v>
      </c>
    </row>
    <row r="18" spans="6:8" ht="12.75">
      <c r="F18" s="82"/>
      <c r="G18" s="85"/>
      <c r="H18" s="6"/>
    </row>
    <row r="19" spans="1:9" ht="12.75">
      <c r="A19" s="1" t="s">
        <v>97</v>
      </c>
      <c r="F19" s="82"/>
      <c r="G19" s="83">
        <f>SUM(F20:F26)</f>
        <v>121.50000000001208</v>
      </c>
      <c r="H19" s="139">
        <f>+G19/G9</f>
        <v>0.00010433662516102368</v>
      </c>
      <c r="I19" s="90"/>
    </row>
    <row r="20" spans="1:8" ht="12.75">
      <c r="A20" t="s">
        <v>98</v>
      </c>
      <c r="F20" s="85">
        <f>-'Cedula de Variaciones'!I25</f>
        <v>-449.9999999999943</v>
      </c>
      <c r="G20" s="85"/>
      <c r="H20" s="6"/>
    </row>
    <row r="21" spans="1:8" ht="12.75">
      <c r="A21" t="s">
        <v>166</v>
      </c>
      <c r="F21" s="85">
        <f>-'Cedula de Variaciones'!J35</f>
        <v>-538.4999999999936</v>
      </c>
      <c r="G21" s="85"/>
      <c r="H21" s="6"/>
    </row>
    <row r="22" spans="1:8" ht="12.75">
      <c r="A22" t="s">
        <v>170</v>
      </c>
      <c r="F22" s="85">
        <f>'Cedula de Variaciones'!J41</f>
        <v>510</v>
      </c>
      <c r="G22" s="85"/>
      <c r="H22" s="6"/>
    </row>
    <row r="23" spans="1:8" ht="12.75">
      <c r="A23" t="s">
        <v>167</v>
      </c>
      <c r="F23" s="85">
        <f>-'Cedula de Variaciones'!I43</f>
        <v>-104.99999999999775</v>
      </c>
      <c r="G23" s="85"/>
      <c r="H23" s="6"/>
    </row>
    <row r="24" spans="1:8" ht="12.75">
      <c r="A24" t="s">
        <v>169</v>
      </c>
      <c r="F24" s="85">
        <f>'Cedula de Variaciones'!J52</f>
        <v>600</v>
      </c>
      <c r="G24" s="85"/>
      <c r="H24" s="6"/>
    </row>
    <row r="25" spans="1:8" ht="12.75">
      <c r="A25" t="s">
        <v>168</v>
      </c>
      <c r="F25" s="85">
        <f>'Cedula de Variaciones'!J54</f>
        <v>104.99999999999775</v>
      </c>
      <c r="G25" s="85"/>
      <c r="H25" s="6"/>
    </row>
    <row r="26" spans="6:8" ht="12.75">
      <c r="F26" s="91"/>
      <c r="G26" s="91"/>
      <c r="H26" s="6"/>
    </row>
    <row r="27" spans="1:8" ht="12.75">
      <c r="A27" t="s">
        <v>171</v>
      </c>
      <c r="F27" s="82"/>
      <c r="G27" s="85">
        <f>+G17+G19</f>
        <v>582371.5</v>
      </c>
      <c r="H27" s="6"/>
    </row>
    <row r="28" spans="6:8" ht="12.75">
      <c r="F28" s="82"/>
      <c r="G28" s="85"/>
      <c r="H28" s="6"/>
    </row>
    <row r="29" spans="1:8" ht="12.75">
      <c r="A29" t="s">
        <v>99</v>
      </c>
      <c r="F29" s="82"/>
      <c r="G29" s="86">
        <v>82371.5</v>
      </c>
      <c r="H29" s="87">
        <f>G29/G9</f>
        <v>0.07073550880206098</v>
      </c>
    </row>
    <row r="30" spans="7:8" ht="12.75">
      <c r="G30" s="85"/>
      <c r="H30" s="6"/>
    </row>
    <row r="31" spans="1:8" ht="13.5" thickBot="1">
      <c r="A31" t="s">
        <v>100</v>
      </c>
      <c r="G31" s="92">
        <f>+G27-G29</f>
        <v>500000</v>
      </c>
      <c r="H31" s="93">
        <f>+G31/G9</f>
        <v>0.42936882782310004</v>
      </c>
    </row>
    <row r="32" ht="13.5" thickTop="1"/>
  </sheetData>
  <sheetProtection/>
  <mergeCells count="4">
    <mergeCell ref="A1:H1"/>
    <mergeCell ref="A2:H2"/>
    <mergeCell ref="A3:H3"/>
    <mergeCell ref="A4:H4"/>
  </mergeCells>
  <printOptions horizontalCentered="1" verticalCentered="1"/>
  <pageMargins left="0.75" right="0.75" top="0.25" bottom="1.16" header="0" footer="0"/>
  <pageSetup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7" max="8" width="12.8515625" style="0" bestFit="1" customWidth="1"/>
    <col min="9" max="9" width="11.8515625" style="0" bestFit="1" customWidth="1"/>
  </cols>
  <sheetData>
    <row r="1" ht="12.75">
      <c r="A1" t="s">
        <v>101</v>
      </c>
    </row>
    <row r="2" spans="2:7" ht="12.75">
      <c r="B2" t="s">
        <v>102</v>
      </c>
      <c r="G2" s="94">
        <f>+C15</f>
        <v>411138.5</v>
      </c>
    </row>
    <row r="3" spans="2:7" ht="12.75">
      <c r="B3" t="s">
        <v>103</v>
      </c>
      <c r="G3" s="94">
        <f>+'Cedula elementos REALES'!J41</f>
        <v>89355</v>
      </c>
    </row>
    <row r="4" spans="2:7" ht="12.75">
      <c r="B4" t="s">
        <v>104</v>
      </c>
      <c r="G4" s="94">
        <f>+'Cedula elementos REALES'!J44</f>
        <v>104895</v>
      </c>
    </row>
    <row r="5" spans="3:8" ht="12.75">
      <c r="C5" t="s">
        <v>105</v>
      </c>
      <c r="H5" s="73">
        <f>+G2</f>
        <v>411138.5</v>
      </c>
    </row>
    <row r="6" spans="3:8" ht="12.75">
      <c r="C6" t="s">
        <v>106</v>
      </c>
      <c r="H6" s="73">
        <f>+G3</f>
        <v>89355</v>
      </c>
    </row>
    <row r="7" spans="3:8" ht="12.75">
      <c r="C7" t="s">
        <v>107</v>
      </c>
      <c r="H7" s="73">
        <f>+G4</f>
        <v>104895</v>
      </c>
    </row>
    <row r="8" spans="2:8" ht="13.5" thickBot="1">
      <c r="B8" t="s">
        <v>108</v>
      </c>
      <c r="G8" s="95">
        <f>SUM(G2:G7)</f>
        <v>605388.5</v>
      </c>
      <c r="H8" s="95">
        <f>SUM(H2:H7)</f>
        <v>605388.5</v>
      </c>
    </row>
    <row r="9" spans="4:8" ht="13.5" thickTop="1">
      <c r="D9" s="4" t="s">
        <v>182</v>
      </c>
      <c r="E9" s="4" t="s">
        <v>183</v>
      </c>
      <c r="G9" s="25"/>
      <c r="H9" s="25"/>
    </row>
    <row r="10" spans="3:8" ht="12.75">
      <c r="C10" s="143">
        <v>245590.2</v>
      </c>
      <c r="D10">
        <v>245.1</v>
      </c>
      <c r="E10">
        <f>+C10/D10</f>
        <v>1002.0000000000001</v>
      </c>
      <c r="G10" s="25"/>
      <c r="H10" s="25"/>
    </row>
    <row r="11" spans="3:8" ht="12.75">
      <c r="C11" s="143">
        <f>123*498</f>
        <v>61254</v>
      </c>
      <c r="D11">
        <v>123</v>
      </c>
      <c r="E11">
        <f>+C11/D11</f>
        <v>498</v>
      </c>
      <c r="G11" s="25"/>
      <c r="H11" s="25"/>
    </row>
    <row r="12" spans="3:8" ht="12.75">
      <c r="C12" s="143">
        <v>98394.3</v>
      </c>
      <c r="D12">
        <v>9810</v>
      </c>
      <c r="E12">
        <f>+C12/D12</f>
        <v>10.030000000000001</v>
      </c>
      <c r="G12" s="25"/>
      <c r="H12" s="25"/>
    </row>
    <row r="13" spans="3:8" ht="12.75">
      <c r="C13" s="143">
        <f>+D13*E13</f>
        <v>2900</v>
      </c>
      <c r="D13">
        <v>29</v>
      </c>
      <c r="E13">
        <v>100</v>
      </c>
      <c r="G13" s="25"/>
      <c r="H13" s="25"/>
    </row>
    <row r="14" spans="3:8" ht="12.75">
      <c r="C14" s="143">
        <f>+D14*E14</f>
        <v>3000</v>
      </c>
      <c r="D14">
        <v>40</v>
      </c>
      <c r="E14">
        <v>75</v>
      </c>
      <c r="G14" s="25"/>
      <c r="H14" s="144"/>
    </row>
    <row r="15" spans="3:8" ht="13.5" thickBot="1">
      <c r="C15" s="142">
        <f>SUM(C10:C14)</f>
        <v>411138.5</v>
      </c>
      <c r="G15" s="25"/>
      <c r="H15" s="25"/>
    </row>
    <row r="16" spans="3:8" ht="13.5" thickTop="1">
      <c r="C16" s="144"/>
      <c r="G16" s="25"/>
      <c r="H16" s="25"/>
    </row>
    <row r="17" ht="12.75">
      <c r="A17" t="s">
        <v>109</v>
      </c>
    </row>
    <row r="18" spans="2:7" ht="12.75">
      <c r="B18" t="s">
        <v>110</v>
      </c>
      <c r="G18" s="73">
        <f>SUM(F19:F20)</f>
        <v>598220</v>
      </c>
    </row>
    <row r="19" spans="2:7" ht="12.75">
      <c r="B19" t="s">
        <v>180</v>
      </c>
      <c r="F19" s="73">
        <f>+'Hoja Tecnica de Costo STD'!H19*'Cedula elementos REALES'!F30</f>
        <v>344630</v>
      </c>
      <c r="G19" s="73"/>
    </row>
    <row r="20" spans="2:6" ht="12.75">
      <c r="B20" t="s">
        <v>181</v>
      </c>
      <c r="F20" s="73">
        <f>+'Hoja Tecnica de Costo STD'!I19*'Cedula elementos REALES'!F24</f>
        <v>253590.00000000003</v>
      </c>
    </row>
    <row r="21" spans="3:9" ht="12.75">
      <c r="C21" t="s">
        <v>111</v>
      </c>
      <c r="H21" s="73">
        <f>+('Hoja Tecnica de Costo STD'!H13*'Cedula elementos REALES'!F30)+('Cedula elementos REALES'!F24*'Hoja Tecnica de Costo STD'!I13)</f>
        <v>404710</v>
      </c>
      <c r="I21" s="73"/>
    </row>
    <row r="22" spans="3:8" ht="12.75">
      <c r="C22" t="s">
        <v>112</v>
      </c>
      <c r="H22" s="94">
        <f>+('Hoja Tecnica de Costo STD'!H15*'Cedula elementos REALES'!F30)+('Cedula elementos REALES'!F24*'Hoja Tecnica de Costo STD'!I15)</f>
        <v>88910</v>
      </c>
    </row>
    <row r="23" spans="3:8" ht="12.75">
      <c r="C23" t="s">
        <v>104</v>
      </c>
      <c r="H23" s="94">
        <f>+('Hoja Tecnica de Costo STD'!H17*'Cedula elementos REALES'!F30)+('Cedula elementos REALES'!F24*'Hoja Tecnica de Costo STD'!I17)</f>
        <v>104600</v>
      </c>
    </row>
    <row r="24" spans="2:8" ht="13.5" thickBot="1">
      <c r="B24" t="s">
        <v>113</v>
      </c>
      <c r="G24" s="95">
        <f>SUM(G18:G23)</f>
        <v>598220</v>
      </c>
      <c r="H24" s="95">
        <f>SUM(H18:H23)</f>
        <v>598220</v>
      </c>
    </row>
    <row r="25" ht="13.5" thickTop="1"/>
    <row r="26" ht="12.75">
      <c r="A26" t="s">
        <v>114</v>
      </c>
    </row>
    <row r="27" spans="2:9" ht="12.75">
      <c r="B27" t="s">
        <v>115</v>
      </c>
      <c r="G27" s="94">
        <f>SUM(H28:H30)</f>
        <v>7290</v>
      </c>
      <c r="I27" s="73"/>
    </row>
    <row r="28" spans="3:9" ht="12.75">
      <c r="C28" t="s">
        <v>116</v>
      </c>
      <c r="H28" s="94">
        <f>+('Hoja Tecnica de Costo STD'!H13*'Cedula elementos REALES'!F31)+('Cedula elementos REALES'!F25*'Hoja Tecnica de Costo STD'!I13)</f>
        <v>5440</v>
      </c>
      <c r="I28" s="73"/>
    </row>
    <row r="29" spans="3:8" ht="12.75">
      <c r="C29" t="s">
        <v>103</v>
      </c>
      <c r="H29" s="94">
        <f>+('Hoja Tecnica de Costo STD'!H15*'Cedula elementos REALES'!F33)+('Cedula elementos REALES'!F27*'Hoja Tecnica de Costo STD'!I15)</f>
        <v>850</v>
      </c>
    </row>
    <row r="30" spans="3:8" ht="12.75">
      <c r="C30" t="s">
        <v>117</v>
      </c>
      <c r="H30" s="94">
        <f>+('Hoja Tecnica de Costo STD'!H17*'Cedula elementos REALES'!F33)+('Cedula elementos REALES'!F27*'Hoja Tecnica de Costo STD'!I17)</f>
        <v>1000</v>
      </c>
    </row>
    <row r="31" spans="2:8" ht="26.25" customHeight="1" thickBot="1">
      <c r="B31" s="158" t="s">
        <v>118</v>
      </c>
      <c r="C31" s="158"/>
      <c r="D31" s="158"/>
      <c r="E31" s="158"/>
      <c r="F31" s="158"/>
      <c r="G31" s="95">
        <f>SUM(G27:G30)</f>
        <v>7290</v>
      </c>
      <c r="H31" s="95">
        <f>SUM(H28:H30)</f>
        <v>7290</v>
      </c>
    </row>
    <row r="32" ht="13.5" thickTop="1"/>
    <row r="33" ht="12.75">
      <c r="A33" t="s">
        <v>119</v>
      </c>
    </row>
    <row r="34" spans="2:7" ht="12.75">
      <c r="B34" t="s">
        <v>120</v>
      </c>
      <c r="G34" s="73">
        <f>+H35+H36</f>
        <v>1304240</v>
      </c>
    </row>
    <row r="35" spans="3:9" ht="12.75">
      <c r="C35" t="s">
        <v>95</v>
      </c>
      <c r="H35" s="94">
        <f>+'Estado de Resultados'!G9</f>
        <v>1164500</v>
      </c>
      <c r="I35" s="73"/>
    </row>
    <row r="36" spans="3:8" ht="12.75">
      <c r="C36" t="s">
        <v>121</v>
      </c>
      <c r="H36" s="94">
        <f>+H35*0.12</f>
        <v>139740</v>
      </c>
    </row>
    <row r="37" spans="2:8" ht="13.5" thickBot="1">
      <c r="B37" t="s">
        <v>122</v>
      </c>
      <c r="G37" s="95">
        <f>SUM(G34:G36)</f>
        <v>1304240</v>
      </c>
      <c r="H37" s="95">
        <f>SUM(H34:H36)</f>
        <v>1304240</v>
      </c>
    </row>
    <row r="38" ht="13.5" thickTop="1"/>
    <row r="39" ht="12.75">
      <c r="A39" t="s">
        <v>123</v>
      </c>
    </row>
    <row r="40" spans="2:7" ht="12.75">
      <c r="B40" t="s">
        <v>96</v>
      </c>
      <c r="G40" s="94">
        <f>-'Estado de Resultados'!G15</f>
        <v>582250</v>
      </c>
    </row>
    <row r="41" spans="3:8" ht="12.75">
      <c r="C41" t="s">
        <v>124</v>
      </c>
      <c r="H41" s="73">
        <f>+G40</f>
        <v>582250</v>
      </c>
    </row>
    <row r="42" spans="2:8" ht="13.5" thickBot="1">
      <c r="B42" t="s">
        <v>125</v>
      </c>
      <c r="G42" s="95">
        <f>SUM(G40:G41)</f>
        <v>582250</v>
      </c>
      <c r="H42" s="95">
        <f>SUM(H40:H41)</f>
        <v>582250</v>
      </c>
    </row>
    <row r="43" ht="13.5" thickTop="1"/>
    <row r="44" ht="12.75">
      <c r="A44" t="s">
        <v>126</v>
      </c>
    </row>
    <row r="45" spans="2:8" ht="12.75">
      <c r="B45" t="s">
        <v>130</v>
      </c>
      <c r="G45" s="94">
        <f>+'Cedula de Variaciones'!I25</f>
        <v>449.9999999999943</v>
      </c>
      <c r="H45" s="94"/>
    </row>
    <row r="46" spans="2:8" ht="12.75">
      <c r="B46" t="s">
        <v>175</v>
      </c>
      <c r="G46" s="94">
        <f>+'Cedula de Variaciones'!J35</f>
        <v>538.4999999999936</v>
      </c>
      <c r="H46" s="94"/>
    </row>
    <row r="47" spans="2:8" ht="12.75">
      <c r="B47" t="s">
        <v>178</v>
      </c>
      <c r="G47" s="94"/>
      <c r="H47" s="94">
        <f>+'Cedula de Variaciones'!J41</f>
        <v>510</v>
      </c>
    </row>
    <row r="48" spans="2:8" ht="12.75">
      <c r="B48" t="s">
        <v>176</v>
      </c>
      <c r="G48" s="94">
        <f>+'Cedula de Variaciones'!I43</f>
        <v>104.99999999999775</v>
      </c>
      <c r="H48" s="94"/>
    </row>
    <row r="49" spans="2:8" ht="12.75">
      <c r="B49" t="s">
        <v>131</v>
      </c>
      <c r="G49" s="94"/>
      <c r="H49" s="94">
        <f>+'Cedula de Variaciones'!J52</f>
        <v>600</v>
      </c>
    </row>
    <row r="50" spans="2:8" ht="12.75">
      <c r="B50" t="s">
        <v>177</v>
      </c>
      <c r="G50" s="94"/>
      <c r="H50" s="94">
        <f>+'Cedula de Variaciones'!J54</f>
        <v>104.99999999999775</v>
      </c>
    </row>
    <row r="51" spans="2:8" ht="12.75">
      <c r="B51" t="s">
        <v>111</v>
      </c>
      <c r="G51" s="94"/>
      <c r="H51" s="94">
        <f>+G45+G46</f>
        <v>988.499999999988</v>
      </c>
    </row>
    <row r="52" spans="2:8" ht="12.75">
      <c r="B52" t="s">
        <v>112</v>
      </c>
      <c r="G52" s="94">
        <f>+H47-G48</f>
        <v>405.0000000000023</v>
      </c>
      <c r="H52" s="94"/>
    </row>
    <row r="53" spans="2:8" ht="12.75">
      <c r="B53" t="s">
        <v>179</v>
      </c>
      <c r="G53" s="94">
        <f>+H49+H50</f>
        <v>704.9999999999977</v>
      </c>
      <c r="H53" s="94"/>
    </row>
    <row r="54" spans="2:8" ht="13.5" thickBot="1">
      <c r="B54" t="s">
        <v>127</v>
      </c>
      <c r="G54" s="96">
        <f>SUM(G45:G53)</f>
        <v>2203.4999999999854</v>
      </c>
      <c r="H54" s="96">
        <f>SUM(H45:H53)</f>
        <v>2203.4999999999854</v>
      </c>
    </row>
    <row r="55" ht="13.5" thickTop="1"/>
    <row r="56" ht="12.75">
      <c r="A56" t="s">
        <v>128</v>
      </c>
    </row>
    <row r="57" spans="2:8" ht="12.75">
      <c r="B57" t="s">
        <v>99</v>
      </c>
      <c r="G57" s="94">
        <f>+'Estado de Resultados'!G29</f>
        <v>82371.5</v>
      </c>
      <c r="H57" s="94"/>
    </row>
    <row r="58" spans="3:8" ht="12.75">
      <c r="C58" t="s">
        <v>107</v>
      </c>
      <c r="G58" s="94"/>
      <c r="H58" s="94">
        <f>+G57</f>
        <v>82371.5</v>
      </c>
    </row>
    <row r="59" spans="2:8" ht="13.5" thickBot="1">
      <c r="B59" t="s">
        <v>129</v>
      </c>
      <c r="G59" s="96">
        <f>SUM(G57:G58)</f>
        <v>82371.5</v>
      </c>
      <c r="H59" s="96">
        <f>SUM(H57:H58)</f>
        <v>82371.5</v>
      </c>
    </row>
    <row r="60" ht="13.5" thickTop="1"/>
  </sheetData>
  <sheetProtection/>
  <mergeCells count="1">
    <mergeCell ref="B31:F31"/>
  </mergeCells>
  <printOptions horizontalCentered="1" verticalCentered="1"/>
  <pageMargins left="0.75" right="0.75" top="0.25" bottom="0.65" header="0" footer="0"/>
  <pageSetup orientation="portrait" scale="85" r:id="rId1"/>
  <headerFooter alignWithMargins="0">
    <oddHeader>&amp;Llibro diario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Ramón Jolón Moscoso</dc:creator>
  <cp:keywords/>
  <dc:description/>
  <cp:lastModifiedBy>BEBA</cp:lastModifiedBy>
  <cp:lastPrinted>2014-09-07T13:32:29Z</cp:lastPrinted>
  <dcterms:created xsi:type="dcterms:W3CDTF">2003-11-19T02:05:40Z</dcterms:created>
  <dcterms:modified xsi:type="dcterms:W3CDTF">2014-10-04T23:53:23Z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-474482839</vt:i4>
  </property>
  <property fmtid="{D5CDD505-2E9C-101B-9397-08002B2CF9AE}" pid="3" name="_EmailSubject">
    <vt:lpwstr/>
  </property>
  <property fmtid="{D5CDD505-2E9C-101B-9397-08002B2CF9AE}" pid="4" name="_AuthorEmail">
    <vt:lpwstr>jpjolon@deloitte.com.gt</vt:lpwstr>
  </property>
  <property fmtid="{D5CDD505-2E9C-101B-9397-08002B2CF9AE}" pid="5" name="_AuthorEmailDisplayName">
    <vt:lpwstr>Juan Pablo Jolon</vt:lpwstr>
  </property>
  <property fmtid="{D5CDD505-2E9C-101B-9397-08002B2CF9AE}" pid="6" name="_ReviewingToolsShownOnce">
    <vt:lpwstr/>
  </property>
</Properties>
</file>