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135" windowHeight="4710" activeTab="0"/>
  </bookViews>
  <sheets>
    <sheet name="No. 1" sheetId="1" r:id="rId1"/>
    <sheet name="No. 2" sheetId="2" r:id="rId2"/>
    <sheet name="No. 3" sheetId="3" r:id="rId3"/>
    <sheet name="No. 4" sheetId="4" r:id="rId4"/>
    <sheet name="No. 5" sheetId="5" r:id="rId5"/>
    <sheet name="No. 6" sheetId="6" r:id="rId6"/>
  </sheets>
  <definedNames>
    <definedName name="_xlnm.Print_Area" localSheetId="1">'No. 2'!$A$1:$I$46</definedName>
    <definedName name="_xlnm.Print_Area" localSheetId="2">'No. 3'!$A$1:$N$56</definedName>
    <definedName name="_xlnm.Print_Area" localSheetId="3">'No. 4'!$A$1:$K$45</definedName>
  </definedNames>
  <calcPr fullCalcOnLoad="1"/>
</workbook>
</file>

<file path=xl/sharedStrings.xml><?xml version="1.0" encoding="utf-8"?>
<sst xmlns="http://schemas.openxmlformats.org/spreadsheetml/2006/main" count="397" uniqueCount="202">
  <si>
    <t>Total</t>
  </si>
  <si>
    <t>Producción</t>
  </si>
  <si>
    <t>Costo Total</t>
  </si>
  <si>
    <t>Ventas</t>
  </si>
  <si>
    <t>Elementos del Costo</t>
  </si>
  <si>
    <t>=</t>
  </si>
  <si>
    <t>Subtotal</t>
  </si>
  <si>
    <t>1.     Cedula de Elementos Estandar</t>
  </si>
  <si>
    <t>Días:</t>
  </si>
  <si>
    <t>Horas:</t>
  </si>
  <si>
    <t>Obreros:</t>
  </si>
  <si>
    <t>H. F.</t>
  </si>
  <si>
    <t>H. H.</t>
  </si>
  <si>
    <t>C. H. H. M. O.</t>
  </si>
  <si>
    <t>C. H. H.  G. F.</t>
  </si>
  <si>
    <t>1 H. F.</t>
  </si>
  <si>
    <t>2.     Cedula de Elementos Reales</t>
  </si>
  <si>
    <t>U. Medida</t>
  </si>
  <si>
    <t>Costo Estandar</t>
  </si>
  <si>
    <t>Cantidad Estándar</t>
  </si>
  <si>
    <t>Un Centro - Varios Productos</t>
  </si>
  <si>
    <t>Unidad</t>
  </si>
  <si>
    <t>Terminada</t>
  </si>
  <si>
    <t>En proceso</t>
  </si>
  <si>
    <t>Equivalente</t>
  </si>
  <si>
    <t>Producción Teórica:</t>
  </si>
  <si>
    <t>T. N. H. H.</t>
  </si>
  <si>
    <t>T. N. H. F.</t>
  </si>
  <si>
    <t>Fijos</t>
  </si>
  <si>
    <t>./</t>
  </si>
  <si>
    <t>Variables</t>
  </si>
  <si>
    <t>Vendida</t>
  </si>
  <si>
    <t>Producto</t>
  </si>
  <si>
    <t>P. Venta</t>
  </si>
  <si>
    <t xml:space="preserve">     a. En función de las H. H.</t>
  </si>
  <si>
    <t>G. Marginal</t>
  </si>
  <si>
    <t>T.N. H. H.</t>
  </si>
  <si>
    <t>Producto más Rentable</t>
  </si>
  <si>
    <t xml:space="preserve">     b. En función de las H. F.</t>
  </si>
  <si>
    <t>T.N. H. F.</t>
  </si>
  <si>
    <t xml:space="preserve">     c. En función de la Producción</t>
  </si>
  <si>
    <t>*</t>
  </si>
  <si>
    <t>P. Vendida</t>
  </si>
  <si>
    <t xml:space="preserve">                  G M M</t>
  </si>
  <si>
    <t>G. M. M.</t>
  </si>
  <si>
    <t>Coeficiente</t>
  </si>
  <si>
    <t>P. E. Q.</t>
  </si>
  <si>
    <t>P. E. U.</t>
  </si>
  <si>
    <t>Costeo Directo</t>
  </si>
  <si>
    <t>kilo</t>
  </si>
  <si>
    <t>500 Mls.</t>
  </si>
  <si>
    <t>350 Mls.</t>
  </si>
  <si>
    <t>250 Mls.</t>
  </si>
  <si>
    <t>VARIABLES</t>
  </si>
  <si>
    <t>Determinación del precio de venta</t>
  </si>
  <si>
    <t>X ------ 100%</t>
  </si>
  <si>
    <t>Gastos Fijos =</t>
  </si>
  <si>
    <t>Gastos de fabricación fijos</t>
  </si>
  <si>
    <t>Gastos de operación (administración)</t>
  </si>
  <si>
    <t>gastos fijos</t>
  </si>
  <si>
    <t xml:space="preserve">                % G M M</t>
  </si>
  <si>
    <t>% G.M.M. =</t>
  </si>
  <si>
    <t>G.M.M.</t>
  </si>
  <si>
    <t>VENTAS</t>
  </si>
  <si>
    <t>COMPROBACIÓN</t>
  </si>
  <si>
    <t>TOTAL</t>
  </si>
  <si>
    <t>Precio de venta</t>
  </si>
  <si>
    <t>Ganancia deseada</t>
  </si>
  <si>
    <t>Costo</t>
  </si>
  <si>
    <t xml:space="preserve"> 8 y 7 Cada Jornada Total 15</t>
  </si>
  <si>
    <t>Cada Turno  Total  8  Obreros</t>
  </si>
  <si>
    <t>150  CC.</t>
  </si>
  <si>
    <t>300 CC.</t>
  </si>
  <si>
    <t>450 CC.</t>
  </si>
  <si>
    <t>150 CC.</t>
  </si>
  <si>
    <t>Ácido cítrico</t>
  </si>
  <si>
    <t>Azucar</t>
  </si>
  <si>
    <t>Kilo</t>
  </si>
  <si>
    <t>Benzoato de sodio</t>
  </si>
  <si>
    <t>gramo</t>
  </si>
  <si>
    <t>saborizante</t>
  </si>
  <si>
    <t>botella con tapa</t>
  </si>
  <si>
    <t>caja corrugada</t>
  </si>
  <si>
    <t>Gastos Fijos</t>
  </si>
  <si>
    <t>Ganancia o pérdida</t>
  </si>
  <si>
    <t>300 c.c.</t>
  </si>
  <si>
    <t>450 c.c.</t>
  </si>
  <si>
    <t>Gastos fijos fabricación</t>
  </si>
  <si>
    <t>Ganancia Marginal</t>
  </si>
  <si>
    <t>150 c.c.</t>
  </si>
  <si>
    <t>Ganancia marginal</t>
  </si>
  <si>
    <t>total gastos fijos</t>
  </si>
  <si>
    <t>Bonificación anual</t>
  </si>
  <si>
    <t>Salario anual</t>
  </si>
  <si>
    <t>Sueldos de producción (2 supervisores) cada uno</t>
  </si>
  <si>
    <t>mensuales</t>
  </si>
  <si>
    <t>Bonificación incentivo Dto. Ley 37-2001</t>
  </si>
  <si>
    <t>Prestaciones mano de obra directa e indirecta</t>
  </si>
  <si>
    <t>Mantenimiento maquinaria</t>
  </si>
  <si>
    <t>por H.F.</t>
  </si>
  <si>
    <t>Repuestos y accesorios</t>
  </si>
  <si>
    <t>Energía eléctrica</t>
  </si>
  <si>
    <t>el Kw. (11 Kws por H.F.)</t>
  </si>
  <si>
    <t>Depreciaciones</t>
  </si>
  <si>
    <t>Alquileres</t>
  </si>
  <si>
    <t>Seguros de la planta</t>
  </si>
  <si>
    <t>FIJOS</t>
  </si>
  <si>
    <t>anuales</t>
  </si>
  <si>
    <t>TOTALES</t>
  </si>
  <si>
    <t>I. inicial</t>
  </si>
  <si>
    <t>% de Avance:</t>
  </si>
  <si>
    <t>DETALLE</t>
  </si>
  <si>
    <t>mezcla de sabores</t>
  </si>
  <si>
    <t>I. MATERIA PRIMA DIRECTA</t>
  </si>
  <si>
    <t>II. MANO DE OBRA DIRECTA</t>
  </si>
  <si>
    <t>III. GASTOS I. DE FABRICACIÓN</t>
  </si>
  <si>
    <t>Regalías por Caja Producida</t>
  </si>
  <si>
    <t>Costo Estandar Directo de Produccción de una caja de refrescos naturales</t>
  </si>
  <si>
    <t>3.     Hoja técnica de Costo Estandar Directo de Producción y venta de una caja de refrescos naturales de cada presentación</t>
  </si>
  <si>
    <t xml:space="preserve">margen que se desea ganar </t>
  </si>
  <si>
    <t>Costo std. Directo de producción</t>
  </si>
  <si>
    <r>
      <t xml:space="preserve">Gastos Variables de Ventas </t>
    </r>
    <r>
      <rPr>
        <sz val="10"/>
        <rFont val="Arial Narrow"/>
        <family val="2"/>
      </rPr>
      <t>(10% sobre P.V.)</t>
    </r>
  </si>
  <si>
    <t>Costo Estandar Directo de Producción Y Venta de una Caja de refrescos naturales</t>
  </si>
  <si>
    <t>4. Ganancia Marginal por Producto</t>
  </si>
  <si>
    <t>P.V.</t>
  </si>
  <si>
    <t>G.M.</t>
  </si>
  <si>
    <t>C. P. y V.</t>
  </si>
  <si>
    <t>5. Producto más Rentable</t>
  </si>
  <si>
    <t>X  botellas  ---</t>
  </si>
  <si>
    <t>G. M. Maximiz.</t>
  </si>
  <si>
    <t>T.N.H.H.</t>
  </si>
  <si>
    <t>Producción botellas:</t>
  </si>
  <si>
    <t>H.H. Total</t>
  </si>
  <si>
    <t>PeU</t>
  </si>
  <si>
    <t>PeQ</t>
  </si>
  <si>
    <t>1*2</t>
  </si>
  <si>
    <t>1*3</t>
  </si>
  <si>
    <t>1*4</t>
  </si>
  <si>
    <t>1*5</t>
  </si>
  <si>
    <t>1*6</t>
  </si>
  <si>
    <t>2*7</t>
  </si>
  <si>
    <t>5*7</t>
  </si>
  <si>
    <r>
      <t>PEU</t>
    </r>
    <r>
      <rPr>
        <sz val="10"/>
        <rFont val="Arial"/>
        <family val="2"/>
      </rPr>
      <t xml:space="preserve">  =     </t>
    </r>
    <r>
      <rPr>
        <u val="single"/>
        <sz val="10"/>
        <rFont val="Arial"/>
        <family val="2"/>
      </rPr>
      <t xml:space="preserve"> Gastos F</t>
    </r>
  </si>
  <si>
    <r>
      <t>PEQ</t>
    </r>
    <r>
      <rPr>
        <sz val="10"/>
        <rFont val="Arial"/>
        <family val="2"/>
      </rPr>
      <t xml:space="preserve">  =     </t>
    </r>
    <r>
      <rPr>
        <u val="single"/>
        <sz val="10"/>
        <rFont val="Arial"/>
        <family val="2"/>
      </rPr>
      <t xml:space="preserve"> Gastos F</t>
    </r>
  </si>
  <si>
    <t>caja de refrescos de 150 c.c.</t>
  </si>
  <si>
    <t>caja de refrescos de 300 c.c.</t>
  </si>
  <si>
    <t>caja de refrescos de 450 c.c.</t>
  </si>
  <si>
    <t>Costeo directo de prod. Y vta.</t>
  </si>
  <si>
    <t>7. Punto de Equilibrio si desea ganar Q 25,000.00 y el precio de venta disminuye en 5%</t>
  </si>
  <si>
    <t>Prod. Vendida</t>
  </si>
  <si>
    <r>
      <t xml:space="preserve">PEU </t>
    </r>
    <r>
      <rPr>
        <sz val="10"/>
        <rFont val="Arial"/>
        <family val="2"/>
      </rPr>
      <t xml:space="preserve"> =     </t>
    </r>
    <r>
      <rPr>
        <u val="single"/>
        <sz val="10"/>
        <rFont val="Arial"/>
        <family val="2"/>
      </rPr>
      <t xml:space="preserve"> Gastos F</t>
    </r>
  </si>
  <si>
    <t>Ganancia Marginal = gastos fijos y de admon.</t>
  </si>
  <si>
    <t>Gastos Variables de Ventas (10% sobre P.V.)</t>
  </si>
  <si>
    <t>Cálculos con los nuevos precios de venta</t>
  </si>
  <si>
    <t>C.E.D. P y V</t>
  </si>
  <si>
    <t>Costo Estándar</t>
  </si>
  <si>
    <t>Gastos fijos anuales (estándar)</t>
  </si>
  <si>
    <t>De administración</t>
  </si>
  <si>
    <t>De fábrica</t>
  </si>
  <si>
    <t>Prod. Anual</t>
  </si>
  <si>
    <t>Prod. Mes</t>
  </si>
  <si>
    <t>Mes</t>
  </si>
  <si>
    <t>G.F. / G.M.</t>
  </si>
  <si>
    <t>Meses</t>
  </si>
  <si>
    <t>1 / 2</t>
  </si>
  <si>
    <t>3 / 5</t>
  </si>
  <si>
    <t>4 / 12 meses</t>
  </si>
  <si>
    <t>Costo Estandar de Producción de una caja de refrescos naturales</t>
  </si>
  <si>
    <t>Costo Estandar Directo de Producción de una caja de refrescos naturales</t>
  </si>
  <si>
    <t>Prod. Cajas</t>
  </si>
  <si>
    <t>Agua</t>
  </si>
  <si>
    <t>litro</t>
  </si>
  <si>
    <t>80.00 ---- 50%</t>
  </si>
  <si>
    <t>6. Punto de Equilibrio en unidades y valores tomando los productos en su conjunto, para el mes trabajado</t>
  </si>
  <si>
    <t>ANUALES</t>
  </si>
  <si>
    <t>(-) costo std. Directo de prod. Y vta.</t>
  </si>
  <si>
    <t>T.N.H.H.P.P.E</t>
  </si>
  <si>
    <t>2*6</t>
  </si>
  <si>
    <t>4*6</t>
  </si>
  <si>
    <t>Gastos Fijos de fabricación y de Admon.</t>
  </si>
  <si>
    <t>Total Materia Prima Directa</t>
  </si>
  <si>
    <t>Hoja técnica de Costo Estandar de Producción de una caja de refrescos naturales de cada presentación</t>
  </si>
  <si>
    <t>9. Diferencia en valuación de existencias finales, sistema de costeo directo vrs. Sistema de costos estándar</t>
  </si>
  <si>
    <t>Productos</t>
  </si>
  <si>
    <t>Inv. Inicial</t>
  </si>
  <si>
    <t>Inv. Final</t>
  </si>
  <si>
    <t xml:space="preserve">Costo Std. </t>
  </si>
  <si>
    <t>Std. Total</t>
  </si>
  <si>
    <t>Costeo D. Total</t>
  </si>
  <si>
    <t>Disponibilid.</t>
  </si>
  <si>
    <t>Diferencia</t>
  </si>
  <si>
    <t>1 + 2</t>
  </si>
  <si>
    <t>3 - 4</t>
  </si>
  <si>
    <t>5 * 6</t>
  </si>
  <si>
    <t>5 * 8</t>
  </si>
  <si>
    <t>7 - 9</t>
  </si>
  <si>
    <t>RABINAL</t>
  </si>
  <si>
    <t>8. Mes en el que se alcanza el punto de equilibrio iniciando desde octubre 2014</t>
  </si>
  <si>
    <t>Comprobación</t>
  </si>
  <si>
    <t>octubre</t>
  </si>
  <si>
    <t>noviembre</t>
  </si>
  <si>
    <t>diciembre</t>
  </si>
</sst>
</file>

<file path=xl/styles.xml><?xml version="1.0" encoding="utf-8"?>
<styleSheet xmlns="http://schemas.openxmlformats.org/spreadsheetml/2006/main">
  <numFmts count="61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0000"/>
    <numFmt numFmtId="169" formatCode="_(* #,##0.000000000000000_);_(* \(#,##0.000000000000000\);_(* &quot;-&quot;???????????????_);_(@_)"/>
    <numFmt numFmtId="170" formatCode="_-[$Q-100A]* #,##0.000_ ;_-[$Q-100A]* \-#,##0.000\ ;_-[$Q-100A]* &quot;-&quot;???_ ;_-@_ "/>
    <numFmt numFmtId="171" formatCode="_-[$Q-100A]* #,##0.00_ ;_-[$Q-100A]* \-#,##0.00\ ;_-[$Q-100A]* &quot;-&quot;??_ ;_-@_ "/>
    <numFmt numFmtId="172" formatCode="#,##0.00000000"/>
    <numFmt numFmtId="173" formatCode="_-[$Q-100A]* #,##0.0000_ ;_-[$Q-100A]* \-#,##0.0000\ ;_-[$Q-100A]* &quot;-&quot;????_ ;_-@_ "/>
    <numFmt numFmtId="174" formatCode="[$Q-100A]#,##0.00"/>
    <numFmt numFmtId="175" formatCode="0.000"/>
    <numFmt numFmtId="176" formatCode="_(* #,##0.000_);_(* \(#,##0.000\);_(* &quot;-&quot;??_);_(@_)"/>
    <numFmt numFmtId="177" formatCode="_(* #,##0.0000000000_);_(* \(#,##0.0000000000\);_(* &quot;-&quot;??_);_(@_)"/>
    <numFmt numFmtId="178" formatCode="_([$Q-100A]* #,##0.00_);_([$Q-100A]* \(#,##0.00\);_([$Q-100A]* &quot;-&quot;??_);_(@_)"/>
    <numFmt numFmtId="179" formatCode="_(&quot;Q&quot;* #,##0.000_);_(&quot;Q&quot;* \(#,##0.000\);_(&quot;Q&quot;* &quot;-&quot;??_);_(@_)"/>
    <numFmt numFmtId="180" formatCode="_(&quot;Q&quot;* #,##0.0000_);_(&quot;Q&quot;* \(#,##0.0000\);_(&quot;Q&quot;* &quot;-&quot;??_);_(@_)"/>
    <numFmt numFmtId="181" formatCode="_-[$Q-100A]* #,##0.00000_ ;_-[$Q-100A]* \-#,##0.00000\ ;_-[$Q-100A]* &quot;-&quot;????_ ;_-@_ "/>
    <numFmt numFmtId="182" formatCode="_-[$Q-100A]* #,##0.000000_ ;_-[$Q-100A]* \-#,##0.000000\ ;_-[$Q-100A]* &quot;-&quot;????_ ;_-@_ "/>
    <numFmt numFmtId="183" formatCode="0.00000"/>
    <numFmt numFmtId="184" formatCode="_-[$Q-100A]* #,##0.00_ ;_-[$Q-100A]* \-#,##0.00\ ;_-[$Q-100A]* &quot;-&quot;?????_ ;_-@_ "/>
    <numFmt numFmtId="185" formatCode="_-[$Q-100A]* #,##0.000_ ;_-[$Q-100A]* \-#,##0.000\ ;_-[$Q-100A]* &quot;-&quot;????_ ;_-@_ "/>
    <numFmt numFmtId="186" formatCode="_-[$Q-100A]* #,##0.00_ ;_-[$Q-100A]* \-#,##0.00\ ;_-[$Q-100A]* &quot;-&quot;????_ ;_-@_ "/>
    <numFmt numFmtId="187" formatCode="_([$Q-100A]* #,##0.0000000_);_([$Q-100A]* \(#,##0.0000000\);_([$Q-100A]* &quot;-&quot;??_);_(@_)"/>
    <numFmt numFmtId="188" formatCode="0.0000000"/>
    <numFmt numFmtId="189" formatCode="_-[$Q-100A]* #,##0.000_ ;_-[$Q-100A]* \-#,##0.000\ ;_-[$Q-100A]* &quot;-&quot;??_ ;_-@_ "/>
    <numFmt numFmtId="190" formatCode="_-* #,##0_-;\-* #,##0_-;_-* &quot;-&quot;??_-;_-@_-"/>
    <numFmt numFmtId="191" formatCode="_-[$Q-100A]* #,##0.00_ ;_-[$Q-100A]* \-#,##0.00\ ;_-[$Q-100A]* &quot;-&quot;???_ ;_-@_ "/>
    <numFmt numFmtId="192" formatCode="_-* #,##0.000_-;\-* #,##0.000_-;_-* &quot;-&quot;??_-;_-@_-"/>
    <numFmt numFmtId="193" formatCode="0.0"/>
    <numFmt numFmtId="194" formatCode="_-* #,##0.000000000_-;\-* #,##0.000000000_-;_-* &quot;-&quot;??_-;_-@_-"/>
    <numFmt numFmtId="195" formatCode="_(* #,##0.000000000_);_(* \(#,##0.000000000\);_(* &quot;-&quot;??_);_(@_)"/>
    <numFmt numFmtId="196" formatCode="_(* #,##0_);_(* \(#,##0\);_(* &quot;-&quot;???_);_(@_)"/>
    <numFmt numFmtId="197" formatCode="0.0000"/>
    <numFmt numFmtId="198" formatCode="_([$Q-100A]* #,##0.000000_);_([$Q-100A]* \(#,##0.000000\);_([$Q-100A]* &quot;-&quot;??_);_(@_)"/>
    <numFmt numFmtId="199" formatCode="_([$Q-100A]* #,##0.000000000_);_([$Q-100A]* \(#,##0.000000000\);_([$Q-100A]* &quot;-&quot;??_);_(@_)"/>
    <numFmt numFmtId="200" formatCode="_([$Q-100A]* #,##0.0000000000_);_([$Q-100A]* \(#,##0.0000000000\);_([$Q-100A]* &quot;-&quot;??_);_(@_)"/>
    <numFmt numFmtId="201" formatCode="0.000000"/>
    <numFmt numFmtId="202" formatCode="_-* #,##0.00000_-;\-* #,##0.00000_-;_-* &quot;-&quot;??_-;_-@_-"/>
    <numFmt numFmtId="203" formatCode="_-* #,##0.0000000_-;\-* #,##0.0000000_-;_-* &quot;-&quot;??_-;_-@_-"/>
    <numFmt numFmtId="204" formatCode="_-[$Q-100A]* #,##0.0000000_ ;_-[$Q-100A]* \-#,##0.0000000\ ;_-[$Q-100A]* &quot;-&quot;????_ ;_-@_ "/>
    <numFmt numFmtId="205" formatCode="_(* #,##0.000000_);_(* \(#,##0.000000\);_(* &quot;-&quot;??_);_(@_)"/>
    <numFmt numFmtId="206" formatCode="_-* #,##0.0000000000_-;\-* #,##0.0000000000_-;_-* &quot;-&quot;??_-;_-@_-"/>
    <numFmt numFmtId="207" formatCode="#,##0.000000"/>
    <numFmt numFmtId="208" formatCode="#,##0.0"/>
    <numFmt numFmtId="209" formatCode="_(&quot;Q&quot;* #,##0.00000_);_(&quot;Q&quot;* \(#,##0.00000\);_(&quot;Q&quot;* &quot;-&quot;??_);_(@_)"/>
    <numFmt numFmtId="210" formatCode="_-[$Q-100A]* #,##0.000_ ;_-[$Q-100A]* \-#,##0.000\ ;_-[$Q-100A]* &quot;-&quot;?????_ ;_-@_ "/>
    <numFmt numFmtId="211" formatCode="_-[$Q-100A]* #,##0.0000_ ;_-[$Q-100A]* \-#,##0.0000\ ;_-[$Q-100A]* &quot;-&quot;?????_ ;_-@_ "/>
    <numFmt numFmtId="212" formatCode="_(* #,##0.000_);_(* \(#,##0.000\);_(* &quot;-&quot;???_);_(@_)"/>
    <numFmt numFmtId="213" formatCode="_(* #,##0.0_);_(* \(#,##0.0\);_(* &quot;-&quot;???_);_(@_)"/>
    <numFmt numFmtId="214" formatCode="_(* #,##0.00_);_(* \(#,##0.00\);_(* &quot;-&quot;???_);_(@_)"/>
    <numFmt numFmtId="215" formatCode="_-* #,##0.0000_-;\-* #,##0.0000_-;_-* &quot;-&quot;??_-;_-@_-"/>
    <numFmt numFmtId="216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 Narrow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lgerian"/>
      <family val="5"/>
    </font>
    <font>
      <b/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/>
      <top/>
      <bottom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>
        <color indexed="63"/>
      </top>
      <bottom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44" fontId="4" fillId="0" borderId="13" xfId="0" applyNumberFormat="1" applyFont="1" applyBorder="1" applyAlignment="1">
      <alignment/>
    </xf>
    <xf numFmtId="44" fontId="4" fillId="0" borderId="14" xfId="0" applyNumberFormat="1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 horizontal="center"/>
    </xf>
    <xf numFmtId="14" fontId="4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 horizontal="center"/>
    </xf>
    <xf numFmtId="43" fontId="5" fillId="0" borderId="0" xfId="0" applyNumberFormat="1" applyFont="1" applyAlignment="1">
      <alignment horizontal="center"/>
    </xf>
    <xf numFmtId="43" fontId="5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 vertical="top"/>
    </xf>
    <xf numFmtId="44" fontId="4" fillId="0" borderId="0" xfId="0" applyNumberFormat="1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/>
    </xf>
    <xf numFmtId="43" fontId="5" fillId="0" borderId="2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9" fontId="4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44" fontId="0" fillId="0" borderId="0" xfId="0" applyNumberForma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44" fontId="12" fillId="0" borderId="0" xfId="0" applyNumberFormat="1" applyFont="1" applyAlignment="1">
      <alignment/>
    </xf>
    <xf numFmtId="169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41" fontId="0" fillId="0" borderId="0" xfId="0" applyNumberForma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44" fontId="13" fillId="0" borderId="0" xfId="0" applyNumberFormat="1" applyFont="1" applyAlignment="1">
      <alignment/>
    </xf>
    <xf numFmtId="171" fontId="12" fillId="0" borderId="0" xfId="0" applyNumberFormat="1" applyFont="1" applyAlignment="1">
      <alignment/>
    </xf>
    <xf numFmtId="171" fontId="13" fillId="0" borderId="0" xfId="0" applyNumberFormat="1" applyFont="1" applyAlignment="1">
      <alignment/>
    </xf>
    <xf numFmtId="171" fontId="13" fillId="0" borderId="11" xfId="0" applyNumberFormat="1" applyFont="1" applyBorder="1" applyAlignment="1">
      <alignment/>
    </xf>
    <xf numFmtId="4" fontId="0" fillId="0" borderId="20" xfId="0" applyNumberFormat="1" applyBorder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171" fontId="0" fillId="0" borderId="20" xfId="0" applyNumberFormat="1" applyBorder="1" applyAlignment="1">
      <alignment/>
    </xf>
    <xf numFmtId="0" fontId="10" fillId="0" borderId="0" xfId="0" applyFont="1" applyAlignment="1">
      <alignment horizontal="center"/>
    </xf>
    <xf numFmtId="44" fontId="12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44" fontId="0" fillId="0" borderId="0" xfId="0" applyNumberFormat="1" applyFont="1" applyAlignment="1">
      <alignment/>
    </xf>
    <xf numFmtId="44" fontId="0" fillId="0" borderId="0" xfId="0" applyNumberFormat="1" applyFont="1" applyAlignment="1">
      <alignment horizontal="center"/>
    </xf>
    <xf numFmtId="44" fontId="0" fillId="0" borderId="20" xfId="0" applyNumberFormat="1" applyFont="1" applyBorder="1" applyAlignment="1">
      <alignment horizontal="center"/>
    </xf>
    <xf numFmtId="44" fontId="0" fillId="0" borderId="20" xfId="0" applyNumberFormat="1" applyBorder="1" applyAlignment="1">
      <alignment/>
    </xf>
    <xf numFmtId="44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41" fontId="0" fillId="0" borderId="0" xfId="0" applyNumberFormat="1" applyAlignment="1">
      <alignment horizontal="right"/>
    </xf>
    <xf numFmtId="0" fontId="4" fillId="0" borderId="14" xfId="0" applyFont="1" applyBorder="1" applyAlignment="1">
      <alignment horizontal="center"/>
    </xf>
    <xf numFmtId="4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41" fontId="0" fillId="0" borderId="0" xfId="0" applyNumberFormat="1" applyBorder="1" applyAlignment="1">
      <alignment/>
    </xf>
    <xf numFmtId="167" fontId="2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20" xfId="0" applyNumberFormat="1" applyFont="1" applyBorder="1" applyAlignment="1">
      <alignment/>
    </xf>
    <xf numFmtId="0" fontId="34" fillId="0" borderId="0" xfId="0" applyFont="1" applyAlignment="1">
      <alignment/>
    </xf>
    <xf numFmtId="44" fontId="35" fillId="0" borderId="0" xfId="46" applyNumberFormat="1" applyFont="1" applyAlignment="1">
      <alignment/>
    </xf>
    <xf numFmtId="9" fontId="34" fillId="0" borderId="0" xfId="52" applyFont="1" applyAlignment="1">
      <alignment/>
    </xf>
    <xf numFmtId="44" fontId="0" fillId="0" borderId="0" xfId="46" applyNumberFormat="1" applyAlignment="1">
      <alignment/>
    </xf>
    <xf numFmtId="44" fontId="0" fillId="0" borderId="21" xfId="0" applyNumberForma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/>
    </xf>
    <xf numFmtId="184" fontId="4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22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181" fontId="4" fillId="0" borderId="14" xfId="0" applyNumberFormat="1" applyFont="1" applyBorder="1" applyAlignment="1">
      <alignment/>
    </xf>
    <xf numFmtId="183" fontId="0" fillId="0" borderId="0" xfId="0" applyNumberFormat="1" applyFont="1" applyAlignment="1">
      <alignment/>
    </xf>
    <xf numFmtId="181" fontId="4" fillId="0" borderId="23" xfId="0" applyNumberFormat="1" applyFont="1" applyBorder="1" applyAlignment="1">
      <alignment/>
    </xf>
    <xf numFmtId="181" fontId="4" fillId="0" borderId="13" xfId="0" applyNumberFormat="1" applyFont="1" applyBorder="1" applyAlignment="1">
      <alignment/>
    </xf>
    <xf numFmtId="14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4" fontId="4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center"/>
    </xf>
    <xf numFmtId="44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3" fontId="4" fillId="0" borderId="14" xfId="0" applyNumberFormat="1" applyFont="1" applyBorder="1" applyAlignment="1">
      <alignment/>
    </xf>
    <xf numFmtId="185" fontId="4" fillId="0" borderId="14" xfId="0" applyNumberFormat="1" applyFont="1" applyBorder="1" applyAlignment="1">
      <alignment/>
    </xf>
    <xf numFmtId="185" fontId="4" fillId="0" borderId="13" xfId="0" applyNumberFormat="1" applyFont="1" applyBorder="1" applyAlignment="1">
      <alignment/>
    </xf>
    <xf numFmtId="186" fontId="4" fillId="0" borderId="14" xfId="0" applyNumberFormat="1" applyFont="1" applyBorder="1" applyAlignment="1">
      <alignment/>
    </xf>
    <xf numFmtId="182" fontId="4" fillId="0" borderId="14" xfId="0" applyNumberFormat="1" applyFont="1" applyBorder="1" applyAlignment="1">
      <alignment/>
    </xf>
    <xf numFmtId="182" fontId="4" fillId="0" borderId="13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85" fontId="3" fillId="0" borderId="13" xfId="0" applyNumberFormat="1" applyFont="1" applyBorder="1" applyAlignment="1">
      <alignment/>
    </xf>
    <xf numFmtId="185" fontId="4" fillId="0" borderId="24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87" fontId="0" fillId="0" borderId="0" xfId="0" applyNumberFormat="1" applyFont="1" applyAlignment="1">
      <alignment/>
    </xf>
    <xf numFmtId="186" fontId="3" fillId="0" borderId="25" xfId="0" applyNumberFormat="1" applyFont="1" applyBorder="1" applyAlignment="1">
      <alignment/>
    </xf>
    <xf numFmtId="174" fontId="3" fillId="0" borderId="0" xfId="0" applyNumberFormat="1" applyFont="1" applyBorder="1" applyAlignment="1">
      <alignment horizontal="center"/>
    </xf>
    <xf numFmtId="17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9" fontId="3" fillId="0" borderId="0" xfId="0" applyNumberFormat="1" applyFont="1" applyFill="1" applyBorder="1" applyAlignment="1">
      <alignment horizontal="center"/>
    </xf>
    <xf numFmtId="9" fontId="0" fillId="0" borderId="0" xfId="52" applyFont="1" applyAlignment="1">
      <alignment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48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9" fontId="2" fillId="0" borderId="0" xfId="0" applyNumberFormat="1" applyFont="1" applyAlignment="1">
      <alignment/>
    </xf>
    <xf numFmtId="9" fontId="3" fillId="0" borderId="0" xfId="52" applyFont="1" applyBorder="1" applyAlignment="1">
      <alignment horizontal="center"/>
    </xf>
    <xf numFmtId="4" fontId="4" fillId="0" borderId="0" xfId="52" applyNumberFormat="1" applyFont="1" applyBorder="1" applyAlignment="1">
      <alignment horizontal="center"/>
    </xf>
    <xf numFmtId="179" fontId="0" fillId="0" borderId="0" xfId="0" applyNumberFormat="1" applyFont="1" applyAlignment="1">
      <alignment/>
    </xf>
    <xf numFmtId="179" fontId="0" fillId="0" borderId="0" xfId="0" applyNumberFormat="1" applyAlignment="1">
      <alignment/>
    </xf>
    <xf numFmtId="190" fontId="0" fillId="0" borderId="0" xfId="46" applyNumberFormat="1" applyAlignment="1">
      <alignment/>
    </xf>
    <xf numFmtId="191" fontId="0" fillId="0" borderId="0" xfId="0" applyNumberFormat="1" applyAlignment="1">
      <alignment/>
    </xf>
    <xf numFmtId="192" fontId="0" fillId="0" borderId="0" xfId="46" applyNumberFormat="1" applyAlignment="1">
      <alignment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94" fontId="0" fillId="0" borderId="0" xfId="46" applyNumberFormat="1" applyAlignment="1">
      <alignment/>
    </xf>
    <xf numFmtId="44" fontId="0" fillId="0" borderId="26" xfId="0" applyNumberFormat="1" applyBorder="1" applyAlignment="1">
      <alignment/>
    </xf>
    <xf numFmtId="43" fontId="0" fillId="0" borderId="0" xfId="0" applyNumberFormat="1" applyAlignment="1">
      <alignment/>
    </xf>
    <xf numFmtId="44" fontId="0" fillId="0" borderId="21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71" fontId="0" fillId="0" borderId="11" xfId="0" applyNumberFormat="1" applyFont="1" applyBorder="1" applyAlignment="1">
      <alignment/>
    </xf>
    <xf numFmtId="171" fontId="12" fillId="0" borderId="11" xfId="0" applyNumberFormat="1" applyFont="1" applyBorder="1" applyAlignment="1">
      <alignment/>
    </xf>
    <xf numFmtId="44" fontId="0" fillId="0" borderId="0" xfId="0" applyNumberFormat="1" applyAlignment="1">
      <alignment horizontal="center"/>
    </xf>
    <xf numFmtId="167" fontId="0" fillId="0" borderId="21" xfId="46" applyFont="1" applyBorder="1" applyAlignment="1">
      <alignment/>
    </xf>
    <xf numFmtId="44" fontId="0" fillId="0" borderId="11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 horizontal="center"/>
    </xf>
    <xf numFmtId="44" fontId="0" fillId="0" borderId="11" xfId="0" applyNumberFormat="1" applyFont="1" applyBorder="1" applyAlignment="1">
      <alignment/>
    </xf>
    <xf numFmtId="44" fontId="0" fillId="0" borderId="11" xfId="48" applyNumberFormat="1" applyFont="1" applyBorder="1" applyAlignment="1">
      <alignment/>
    </xf>
    <xf numFmtId="2" fontId="0" fillId="0" borderId="0" xfId="0" applyNumberFormat="1" applyFont="1" applyAlignment="1">
      <alignment/>
    </xf>
    <xf numFmtId="167" fontId="14" fillId="0" borderId="0" xfId="46" applyFont="1" applyAlignment="1">
      <alignment/>
    </xf>
    <xf numFmtId="4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Font="1" applyAlignment="1">
      <alignment/>
    </xf>
    <xf numFmtId="44" fontId="0" fillId="0" borderId="11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44" fontId="2" fillId="0" borderId="27" xfId="0" applyNumberFormat="1" applyFont="1" applyBorder="1" applyAlignment="1">
      <alignment/>
    </xf>
    <xf numFmtId="44" fontId="0" fillId="0" borderId="0" xfId="46" applyNumberFormat="1" applyFont="1" applyAlignment="1">
      <alignment/>
    </xf>
    <xf numFmtId="180" fontId="0" fillId="0" borderId="0" xfId="0" applyNumberFormat="1" applyBorder="1" applyAlignment="1">
      <alignment/>
    </xf>
    <xf numFmtId="180" fontId="0" fillId="0" borderId="21" xfId="0" applyNumberFormat="1" applyBorder="1" applyAlignment="1">
      <alignment/>
    </xf>
    <xf numFmtId="0" fontId="0" fillId="0" borderId="0" xfId="0" applyFont="1" applyBorder="1" applyAlignment="1">
      <alignment horizontal="center" vertical="center"/>
    </xf>
    <xf numFmtId="190" fontId="0" fillId="0" borderId="0" xfId="46" applyNumberFormat="1" applyFont="1" applyAlignment="1">
      <alignment horizontal="center"/>
    </xf>
    <xf numFmtId="196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190" fontId="3" fillId="0" borderId="0" xfId="46" applyNumberFormat="1" applyFont="1" applyBorder="1" applyAlignment="1">
      <alignment horizontal="center" vertical="center"/>
    </xf>
    <xf numFmtId="190" fontId="3" fillId="0" borderId="0" xfId="46" applyNumberFormat="1" applyFont="1" applyAlignment="1">
      <alignment/>
    </xf>
    <xf numFmtId="190" fontId="2" fillId="0" borderId="0" xfId="46" applyNumberFormat="1" applyFont="1" applyAlignment="1">
      <alignment/>
    </xf>
    <xf numFmtId="0" fontId="2" fillId="0" borderId="0" xfId="0" applyFont="1" applyAlignment="1">
      <alignment/>
    </xf>
    <xf numFmtId="1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81" fontId="4" fillId="0" borderId="28" xfId="0" applyNumberFormat="1" applyFont="1" applyBorder="1" applyAlignment="1">
      <alignment/>
    </xf>
    <xf numFmtId="182" fontId="4" fillId="0" borderId="24" xfId="0" applyNumberFormat="1" applyFont="1" applyBorder="1" applyAlignment="1">
      <alignment/>
    </xf>
    <xf numFmtId="186" fontId="4" fillId="0" borderId="24" xfId="0" applyNumberFormat="1" applyFont="1" applyBorder="1" applyAlignment="1">
      <alignment/>
    </xf>
    <xf numFmtId="0" fontId="4" fillId="0" borderId="28" xfId="0" applyFont="1" applyBorder="1" applyAlignment="1">
      <alignment horizontal="left"/>
    </xf>
    <xf numFmtId="185" fontId="4" fillId="0" borderId="2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0" fontId="4" fillId="0" borderId="0" xfId="46" applyNumberFormat="1" applyFont="1" applyFill="1" applyBorder="1" applyAlignment="1">
      <alignment/>
    </xf>
    <xf numFmtId="197" fontId="0" fillId="0" borderId="0" xfId="0" applyNumberFormat="1" applyFont="1" applyAlignment="1">
      <alignment/>
    </xf>
    <xf numFmtId="175" fontId="4" fillId="0" borderId="14" xfId="0" applyNumberFormat="1" applyFont="1" applyBorder="1" applyAlignment="1">
      <alignment horizontal="center"/>
    </xf>
    <xf numFmtId="198" fontId="0" fillId="0" borderId="0" xfId="0" applyNumberFormat="1" applyFont="1" applyAlignment="1">
      <alignment/>
    </xf>
    <xf numFmtId="199" fontId="0" fillId="0" borderId="0" xfId="0" applyNumberFormat="1" applyFont="1" applyAlignment="1">
      <alignment/>
    </xf>
    <xf numFmtId="200" fontId="0" fillId="0" borderId="0" xfId="0" applyNumberFormat="1" applyFont="1" applyAlignment="1">
      <alignment/>
    </xf>
    <xf numFmtId="201" fontId="3" fillId="0" borderId="0" xfId="0" applyNumberFormat="1" applyFont="1" applyBorder="1" applyAlignment="1">
      <alignment horizontal="center"/>
    </xf>
    <xf numFmtId="203" fontId="0" fillId="0" borderId="0" xfId="46" applyNumberFormat="1" applyFont="1" applyAlignment="1">
      <alignment/>
    </xf>
    <xf numFmtId="43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190" fontId="0" fillId="0" borderId="0" xfId="46" applyNumberFormat="1" applyFont="1" applyAlignment="1">
      <alignment/>
    </xf>
    <xf numFmtId="204" fontId="4" fillId="0" borderId="13" xfId="0" applyNumberFormat="1" applyFont="1" applyBorder="1" applyAlignment="1">
      <alignment/>
    </xf>
    <xf numFmtId="195" fontId="0" fillId="0" borderId="0" xfId="0" applyNumberFormat="1" applyFont="1" applyAlignment="1">
      <alignment/>
    </xf>
    <xf numFmtId="202" fontId="4" fillId="0" borderId="29" xfId="46" applyNumberFormat="1" applyFont="1" applyFill="1" applyBorder="1" applyAlignment="1">
      <alignment/>
    </xf>
    <xf numFmtId="206" fontId="0" fillId="0" borderId="0" xfId="46" applyNumberFormat="1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 horizontal="center"/>
    </xf>
    <xf numFmtId="205" fontId="0" fillId="0" borderId="0" xfId="0" applyNumberFormat="1" applyAlignment="1">
      <alignment/>
    </xf>
    <xf numFmtId="205" fontId="0" fillId="0" borderId="21" xfId="46" applyNumberFormat="1" applyFont="1" applyBorder="1" applyAlignment="1">
      <alignment/>
    </xf>
    <xf numFmtId="207" fontId="0" fillId="0" borderId="0" xfId="0" applyNumberFormat="1" applyAlignment="1">
      <alignment/>
    </xf>
    <xf numFmtId="207" fontId="0" fillId="0" borderId="21" xfId="0" applyNumberFormat="1" applyBorder="1" applyAlignment="1">
      <alignment/>
    </xf>
    <xf numFmtId="204" fontId="4" fillId="0" borderId="24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7" fillId="0" borderId="22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44" fontId="3" fillId="0" borderId="0" xfId="0" applyNumberFormat="1" applyFont="1" applyBorder="1" applyAlignment="1">
      <alignment/>
    </xf>
    <xf numFmtId="186" fontId="3" fillId="0" borderId="32" xfId="0" applyNumberFormat="1" applyFont="1" applyBorder="1" applyAlignment="1">
      <alignment/>
    </xf>
    <xf numFmtId="178" fontId="4" fillId="0" borderId="0" xfId="0" applyNumberFormat="1" applyFont="1" applyBorder="1" applyAlignment="1">
      <alignment horizontal="center"/>
    </xf>
    <xf numFmtId="181" fontId="3" fillId="0" borderId="33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44" fontId="4" fillId="0" borderId="0" xfId="0" applyNumberFormat="1" applyFont="1" applyAlignment="1">
      <alignment/>
    </xf>
    <xf numFmtId="178" fontId="4" fillId="0" borderId="21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3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167" fontId="0" fillId="0" borderId="0" xfId="46" applyAlignment="1">
      <alignment/>
    </xf>
    <xf numFmtId="167" fontId="0" fillId="0" borderId="21" xfId="46" applyBorder="1" applyAlignment="1">
      <alignment/>
    </xf>
    <xf numFmtId="167" fontId="0" fillId="0" borderId="35" xfId="46" applyBorder="1" applyAlignment="1">
      <alignment/>
    </xf>
    <xf numFmtId="167" fontId="0" fillId="0" borderId="0" xfId="46" applyBorder="1" applyAlignment="1">
      <alignment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44" fontId="4" fillId="0" borderId="14" xfId="46" applyNumberFormat="1" applyFont="1" applyBorder="1" applyAlignment="1">
      <alignment horizontal="center"/>
    </xf>
    <xf numFmtId="44" fontId="4" fillId="0" borderId="14" xfId="0" applyNumberFormat="1" applyFont="1" applyBorder="1" applyAlignment="1">
      <alignment/>
    </xf>
    <xf numFmtId="0" fontId="16" fillId="0" borderId="36" xfId="0" applyFont="1" applyBorder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175" fontId="4" fillId="0" borderId="37" xfId="0" applyNumberFormat="1" applyFont="1" applyBorder="1" applyAlignment="1">
      <alignment horizontal="center" vertical="center"/>
    </xf>
    <xf numFmtId="175" fontId="4" fillId="0" borderId="34" xfId="0" applyNumberFormat="1" applyFont="1" applyBorder="1" applyAlignment="1">
      <alignment horizontal="center" vertical="center"/>
    </xf>
    <xf numFmtId="180" fontId="4" fillId="0" borderId="37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193" fontId="4" fillId="0" borderId="37" xfId="0" applyNumberFormat="1" applyFont="1" applyBorder="1" applyAlignment="1">
      <alignment horizontal="center" vertical="center"/>
    </xf>
    <xf numFmtId="193" fontId="4" fillId="0" borderId="34" xfId="0" applyNumberFormat="1" applyFon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4" fontId="4" fillId="0" borderId="37" xfId="0" applyNumberFormat="1" applyFont="1" applyBorder="1" applyAlignment="1">
      <alignment vertical="center"/>
    </xf>
    <xf numFmtId="44" fontId="4" fillId="0" borderId="34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5" fontId="2" fillId="0" borderId="41" xfId="0" applyNumberFormat="1" applyFont="1" applyBorder="1" applyAlignment="1">
      <alignment horizontal="center" vertical="center"/>
    </xf>
    <xf numFmtId="195" fontId="2" fillId="0" borderId="28" xfId="0" applyNumberFormat="1" applyFont="1" applyBorder="1" applyAlignment="1">
      <alignment horizontal="center" vertical="center"/>
    </xf>
    <xf numFmtId="171" fontId="10" fillId="0" borderId="41" xfId="0" applyNumberFormat="1" applyFont="1" applyBorder="1" applyAlignment="1">
      <alignment vertical="center"/>
    </xf>
    <xf numFmtId="171" fontId="10" fillId="0" borderId="28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15" fillId="0" borderId="41" xfId="0" applyNumberFormat="1" applyFont="1" applyBorder="1" applyAlignment="1">
      <alignment horizontal="center" vertical="center"/>
    </xf>
    <xf numFmtId="177" fontId="15" fillId="0" borderId="28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36</xdr:row>
      <xdr:rowOff>28575</xdr:rowOff>
    </xdr:from>
    <xdr:to>
      <xdr:col>4</xdr:col>
      <xdr:colOff>76200</xdr:colOff>
      <xdr:row>37</xdr:row>
      <xdr:rowOff>123825</xdr:rowOff>
    </xdr:to>
    <xdr:sp>
      <xdr:nvSpPr>
        <xdr:cNvPr id="1" name="1 Cerrar llave"/>
        <xdr:cNvSpPr>
          <a:spLocks/>
        </xdr:cNvSpPr>
      </xdr:nvSpPr>
      <xdr:spPr>
        <a:xfrm>
          <a:off x="3781425" y="5905500"/>
          <a:ext cx="104775" cy="2571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9"/>
  <sheetViews>
    <sheetView tabSelected="1" zoomScalePageLayoutView="0" workbookViewId="0" topLeftCell="A1">
      <selection activeCell="F10" sqref="F10"/>
    </sheetView>
  </sheetViews>
  <sheetFormatPr defaultColWidth="11.421875" defaultRowHeight="12.75"/>
  <cols>
    <col min="1" max="1" width="16.28125" style="0" customWidth="1"/>
    <col min="2" max="2" width="8.57421875" style="0" customWidth="1"/>
    <col min="3" max="3" width="5.8515625" style="0" customWidth="1"/>
    <col min="4" max="4" width="9.8515625" style="0" customWidth="1"/>
    <col min="5" max="5" width="3.28125" style="0" customWidth="1"/>
    <col min="6" max="6" width="9.8515625" style="0" customWidth="1"/>
    <col min="7" max="7" width="8.140625" style="0" customWidth="1"/>
    <col min="8" max="8" width="4.00390625" style="0" customWidth="1"/>
    <col min="9" max="9" width="8.421875" style="0" customWidth="1"/>
    <col min="10" max="10" width="3.28125" style="0" customWidth="1"/>
    <col min="11" max="11" width="9.140625" style="0" customWidth="1"/>
    <col min="12" max="12" width="8.00390625" style="0" customWidth="1"/>
    <col min="13" max="13" width="4.140625" style="0" customWidth="1"/>
    <col min="14" max="14" width="9.28125" style="0" customWidth="1"/>
    <col min="17" max="17" width="21.421875" style="0" customWidth="1"/>
    <col min="18" max="18" width="14.421875" style="0" customWidth="1"/>
    <col min="21" max="22" width="13.7109375" style="0" customWidth="1"/>
  </cols>
  <sheetData>
    <row r="1" spans="1:14" ht="20.25">
      <c r="A1" s="264" t="s">
        <v>196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</row>
    <row r="2" spans="1:14" ht="18">
      <c r="A2" s="265" t="s">
        <v>48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ht="18">
      <c r="A3" s="265" t="s">
        <v>20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</row>
    <row r="4" spans="1:6" ht="16.5">
      <c r="A4" s="16"/>
      <c r="B4" s="16"/>
      <c r="C4" s="16"/>
      <c r="D4" s="16"/>
      <c r="E4" s="16"/>
      <c r="F4" s="16"/>
    </row>
    <row r="5" spans="1:6" ht="17.25">
      <c r="A5" s="34" t="s">
        <v>7</v>
      </c>
      <c r="B5" s="7"/>
      <c r="C5" s="7"/>
      <c r="D5" s="7"/>
      <c r="E5" s="7"/>
      <c r="F5" s="7"/>
    </row>
    <row r="6" spans="1:6" ht="12.75">
      <c r="A6" s="7" t="s">
        <v>8</v>
      </c>
      <c r="B6" s="24">
        <v>275</v>
      </c>
      <c r="C6" s="7"/>
      <c r="D6" s="7"/>
      <c r="E6" s="7"/>
      <c r="F6" s="7"/>
    </row>
    <row r="7" spans="1:6" ht="12.75">
      <c r="A7" s="7" t="s">
        <v>9</v>
      </c>
      <c r="B7" s="24">
        <v>15</v>
      </c>
      <c r="C7" s="7" t="s">
        <v>69</v>
      </c>
      <c r="D7" s="7"/>
      <c r="E7" s="7"/>
      <c r="F7" s="7"/>
    </row>
    <row r="8" spans="1:6" ht="12.75">
      <c r="A8" s="7" t="s">
        <v>10</v>
      </c>
      <c r="B8" s="24">
        <v>4</v>
      </c>
      <c r="C8" s="7" t="s">
        <v>70</v>
      </c>
      <c r="D8" s="7"/>
      <c r="E8" s="7"/>
      <c r="F8" s="7"/>
    </row>
    <row r="9" spans="1:6" ht="13.5" thickBot="1">
      <c r="A9" s="7"/>
      <c r="B9" s="24"/>
      <c r="C9" s="7"/>
      <c r="D9" s="7"/>
      <c r="E9" s="7"/>
      <c r="F9" s="7"/>
    </row>
    <row r="10" spans="1:6" ht="13.5" thickBot="1">
      <c r="A10" s="13" t="s">
        <v>11</v>
      </c>
      <c r="B10" s="33">
        <f>B6*B7</f>
        <v>4125</v>
      </c>
      <c r="C10" s="7"/>
      <c r="D10" s="7"/>
      <c r="E10" s="7"/>
      <c r="F10" s="7"/>
    </row>
    <row r="11" spans="1:6" ht="13.5" thickBot="1">
      <c r="A11" s="7"/>
      <c r="B11" s="8"/>
      <c r="C11" s="7"/>
      <c r="D11" s="7"/>
      <c r="E11" s="7"/>
      <c r="F11" s="7"/>
    </row>
    <row r="12" spans="1:6" ht="13.5" thickBot="1">
      <c r="A12" s="13" t="s">
        <v>12</v>
      </c>
      <c r="B12" s="33">
        <f>B10*B8</f>
        <v>16500</v>
      </c>
      <c r="C12" s="7"/>
      <c r="D12" s="7"/>
      <c r="E12" s="7"/>
      <c r="F12" s="7"/>
    </row>
    <row r="13" spans="1:6" ht="12.75">
      <c r="A13" s="7"/>
      <c r="B13" s="8"/>
      <c r="C13" s="7"/>
      <c r="D13" s="7"/>
      <c r="E13" s="7"/>
      <c r="F13" s="7"/>
    </row>
    <row r="14" spans="1:6" ht="12.75">
      <c r="A14" s="13" t="s">
        <v>25</v>
      </c>
      <c r="B14" s="24"/>
      <c r="C14" s="7"/>
      <c r="D14" s="7"/>
      <c r="E14" s="7"/>
      <c r="F14" s="7"/>
    </row>
    <row r="15" spans="1:14" ht="17.25" thickBot="1">
      <c r="A15" s="267" t="s">
        <v>71</v>
      </c>
      <c r="B15" s="267"/>
      <c r="C15" s="267"/>
      <c r="D15" s="267"/>
      <c r="E15" s="13"/>
      <c r="F15" s="267" t="s">
        <v>72</v>
      </c>
      <c r="G15" s="267"/>
      <c r="H15" s="267"/>
      <c r="I15" s="267"/>
      <c r="J15" s="48"/>
      <c r="K15" s="268" t="s">
        <v>73</v>
      </c>
      <c r="L15" s="268"/>
      <c r="M15" s="268"/>
      <c r="N15" s="268"/>
    </row>
    <row r="16" spans="1:14" ht="12.75">
      <c r="A16" s="17">
        <v>125</v>
      </c>
      <c r="B16" s="24" t="s">
        <v>15</v>
      </c>
      <c r="C16" s="253" t="s">
        <v>5</v>
      </c>
      <c r="D16" s="262">
        <f>A16*B17</f>
        <v>515625</v>
      </c>
      <c r="E16" s="7"/>
      <c r="F16" s="31">
        <v>100</v>
      </c>
      <c r="G16" s="24" t="s">
        <v>15</v>
      </c>
      <c r="H16" s="253" t="s">
        <v>5</v>
      </c>
      <c r="I16" s="266">
        <f>G17*F16</f>
        <v>412500</v>
      </c>
      <c r="K16" s="31">
        <v>80</v>
      </c>
      <c r="L16" s="24" t="s">
        <v>15</v>
      </c>
      <c r="M16" s="253" t="s">
        <v>5</v>
      </c>
      <c r="N16" s="262">
        <f>L17*K16</f>
        <v>330000</v>
      </c>
    </row>
    <row r="17" spans="1:14" ht="13.5" thickBot="1">
      <c r="A17" s="7" t="s">
        <v>128</v>
      </c>
      <c r="B17" s="31">
        <f>B10</f>
        <v>4125</v>
      </c>
      <c r="C17" s="253"/>
      <c r="D17" s="263"/>
      <c r="E17" s="7"/>
      <c r="F17" s="7" t="s">
        <v>128</v>
      </c>
      <c r="G17" s="31">
        <f>B10</f>
        <v>4125</v>
      </c>
      <c r="H17" s="253"/>
      <c r="I17" s="263"/>
      <c r="K17" s="7" t="s">
        <v>128</v>
      </c>
      <c r="L17" s="31">
        <f>B10</f>
        <v>4125</v>
      </c>
      <c r="M17" s="253"/>
      <c r="N17" s="263"/>
    </row>
    <row r="18" spans="1:14" s="185" customFormat="1" ht="13.5" thickBot="1">
      <c r="A18" s="13" t="s">
        <v>169</v>
      </c>
      <c r="B18" s="180"/>
      <c r="C18" s="181"/>
      <c r="D18" s="182">
        <f>D16/12</f>
        <v>42968.75</v>
      </c>
      <c r="E18" s="183"/>
      <c r="F18" s="183"/>
      <c r="G18" s="184"/>
      <c r="H18" s="184"/>
      <c r="I18" s="182">
        <f>I16/18</f>
        <v>22916.666666666668</v>
      </c>
      <c r="J18" s="184"/>
      <c r="K18" s="184"/>
      <c r="L18" s="184"/>
      <c r="M18" s="184"/>
      <c r="N18" s="182">
        <f>N16/24</f>
        <v>13750</v>
      </c>
    </row>
    <row r="19" spans="1:14" ht="13.5" thickBot="1">
      <c r="A19" s="13" t="s">
        <v>26</v>
      </c>
      <c r="B19" s="27">
        <f>1*B12</f>
        <v>16500</v>
      </c>
      <c r="C19" s="253" t="s">
        <v>5</v>
      </c>
      <c r="D19" s="254">
        <f>SUM(B19/B20)</f>
        <v>0.384</v>
      </c>
      <c r="E19" s="7"/>
      <c r="F19" s="7" t="s">
        <v>26</v>
      </c>
      <c r="G19" s="27">
        <f>1*B12</f>
        <v>16500</v>
      </c>
      <c r="H19" s="253" t="s">
        <v>5</v>
      </c>
      <c r="I19" s="258">
        <f>SUM(G19/G20)</f>
        <v>0.72</v>
      </c>
      <c r="K19" s="7" t="s">
        <v>26</v>
      </c>
      <c r="L19" s="27">
        <f>1*B12</f>
        <v>16500</v>
      </c>
      <c r="M19" s="253" t="s">
        <v>5</v>
      </c>
      <c r="N19" s="260">
        <f>SUM(L19/L20)</f>
        <v>1.2</v>
      </c>
    </row>
    <row r="20" spans="1:14" ht="13.5" thickBot="1">
      <c r="A20" s="7"/>
      <c r="B20" s="31">
        <f>D18</f>
        <v>42968.75</v>
      </c>
      <c r="C20" s="253"/>
      <c r="D20" s="255"/>
      <c r="E20" s="7"/>
      <c r="F20" s="7"/>
      <c r="G20" s="31">
        <f>I18</f>
        <v>22916.666666666668</v>
      </c>
      <c r="H20" s="253"/>
      <c r="I20" s="259"/>
      <c r="K20" s="7"/>
      <c r="L20" s="31">
        <f>N18</f>
        <v>13750</v>
      </c>
      <c r="M20" s="253"/>
      <c r="N20" s="261"/>
    </row>
    <row r="21" spans="1:14" ht="13.5" thickBot="1">
      <c r="A21" s="7"/>
      <c r="B21" s="31"/>
      <c r="C21" s="26"/>
      <c r="D21" s="15"/>
      <c r="E21" s="7"/>
      <c r="F21" s="7"/>
      <c r="G21" s="31"/>
      <c r="H21" s="26"/>
      <c r="I21" s="15"/>
      <c r="K21" s="7"/>
      <c r="L21" s="31"/>
      <c r="M21" s="26"/>
      <c r="N21" s="15"/>
    </row>
    <row r="22" spans="1:14" ht="13.5" thickBot="1">
      <c r="A22" s="13" t="s">
        <v>27</v>
      </c>
      <c r="B22" s="27">
        <f>1*B10</f>
        <v>4125</v>
      </c>
      <c r="C22" s="253" t="s">
        <v>5</v>
      </c>
      <c r="D22" s="254">
        <f>SUM(B22/B23)</f>
        <v>0.096</v>
      </c>
      <c r="E22" s="7"/>
      <c r="F22" s="7" t="s">
        <v>27</v>
      </c>
      <c r="G22" s="27">
        <f>1*B10</f>
        <v>4125</v>
      </c>
      <c r="H22" s="253" t="s">
        <v>5</v>
      </c>
      <c r="I22" s="258">
        <f>SUM(G22/G23)</f>
        <v>0.18</v>
      </c>
      <c r="K22" s="7" t="s">
        <v>27</v>
      </c>
      <c r="L22" s="27">
        <f>1*B10</f>
        <v>4125</v>
      </c>
      <c r="M22" s="253" t="s">
        <v>5</v>
      </c>
      <c r="N22" s="260">
        <f>SUM(L22/L23)</f>
        <v>0.3</v>
      </c>
    </row>
    <row r="23" spans="1:14" ht="13.5" thickBot="1">
      <c r="A23" s="7"/>
      <c r="B23" s="31">
        <f>D18</f>
        <v>42968.75</v>
      </c>
      <c r="C23" s="253"/>
      <c r="D23" s="255"/>
      <c r="E23" s="7"/>
      <c r="F23" s="7"/>
      <c r="G23" s="31">
        <f>I18</f>
        <v>22916.666666666668</v>
      </c>
      <c r="H23" s="253"/>
      <c r="I23" s="259"/>
      <c r="K23" s="7"/>
      <c r="L23" s="31">
        <f>N18</f>
        <v>13750</v>
      </c>
      <c r="M23" s="253"/>
      <c r="N23" s="261"/>
    </row>
    <row r="24" spans="1:6" ht="13.5" thickBot="1">
      <c r="A24" s="7"/>
      <c r="B24" s="17"/>
      <c r="C24" s="26"/>
      <c r="D24" s="15"/>
      <c r="E24" s="7"/>
      <c r="F24" s="7"/>
    </row>
    <row r="25" spans="1:7" ht="13.5" thickBot="1">
      <c r="A25" s="13" t="s">
        <v>13</v>
      </c>
      <c r="B25" s="27">
        <v>240900</v>
      </c>
      <c r="C25" s="253" t="s">
        <v>5</v>
      </c>
      <c r="D25" s="256">
        <f>SUM(B25/B26)</f>
        <v>14.6</v>
      </c>
      <c r="E25" s="7"/>
      <c r="F25" s="7">
        <f>18075*12</f>
        <v>216900</v>
      </c>
      <c r="G25" t="s">
        <v>93</v>
      </c>
    </row>
    <row r="26" spans="1:7" ht="13.5" thickBot="1">
      <c r="A26" s="7"/>
      <c r="B26" s="31">
        <f>1*B12</f>
        <v>16500</v>
      </c>
      <c r="C26" s="253"/>
      <c r="D26" s="257"/>
      <c r="E26" s="7"/>
      <c r="F26" s="7">
        <f>250*8*12</f>
        <v>24000</v>
      </c>
      <c r="G26" s="49" t="s">
        <v>92</v>
      </c>
    </row>
    <row r="27" spans="1:22" ht="12.75">
      <c r="A27" s="7"/>
      <c r="B27" s="17"/>
      <c r="C27" s="26"/>
      <c r="D27" s="15"/>
      <c r="E27" s="7"/>
      <c r="F27" s="7"/>
      <c r="U27" s="248" t="s">
        <v>174</v>
      </c>
      <c r="V27" s="248"/>
    </row>
    <row r="28" spans="1:22" ht="12.75">
      <c r="A28" s="13" t="s">
        <v>14</v>
      </c>
      <c r="B28" s="32"/>
      <c r="C28" s="39"/>
      <c r="D28" s="40"/>
      <c r="E28" s="7"/>
      <c r="F28" s="7"/>
      <c r="O28" s="248" t="s">
        <v>111</v>
      </c>
      <c r="P28" s="248"/>
      <c r="Q28" s="248"/>
      <c r="R28" s="248"/>
      <c r="S28" s="248"/>
      <c r="T28" s="248"/>
      <c r="U28" s="44" t="s">
        <v>106</v>
      </c>
      <c r="V28" s="44" t="s">
        <v>53</v>
      </c>
    </row>
    <row r="29" spans="1:22" ht="15.75">
      <c r="A29" s="7" t="s">
        <v>28</v>
      </c>
      <c r="B29" s="36">
        <f>U38</f>
        <v>325380</v>
      </c>
      <c r="C29" s="41" t="s">
        <v>29</v>
      </c>
      <c r="D29" s="42">
        <f>1*B12</f>
        <v>16500</v>
      </c>
      <c r="E29" s="17" t="s">
        <v>5</v>
      </c>
      <c r="F29" s="90">
        <f>SUM(B29/D29)</f>
        <v>19.72</v>
      </c>
      <c r="O29" s="92" t="s">
        <v>94</v>
      </c>
      <c r="P29" s="92"/>
      <c r="Q29" s="92"/>
      <c r="R29" s="93">
        <v>4500</v>
      </c>
      <c r="S29" s="92" t="s">
        <v>95</v>
      </c>
      <c r="U29" s="95">
        <f>R29*12*2</f>
        <v>108000</v>
      </c>
      <c r="V29" s="95"/>
    </row>
    <row r="30" spans="1:22" ht="15">
      <c r="A30" s="7" t="s">
        <v>30</v>
      </c>
      <c r="B30" s="43">
        <f>V38</f>
        <v>375936</v>
      </c>
      <c r="C30" s="41" t="s">
        <v>29</v>
      </c>
      <c r="D30" s="42">
        <f>1*B12</f>
        <v>16500</v>
      </c>
      <c r="E30" s="17" t="s">
        <v>5</v>
      </c>
      <c r="F30" s="91">
        <f>SUM(B30/D30)</f>
        <v>22.784</v>
      </c>
      <c r="O30" s="92" t="s">
        <v>96</v>
      </c>
      <c r="P30" s="92"/>
      <c r="Q30" s="92"/>
      <c r="R30" s="92"/>
      <c r="S30" s="92"/>
      <c r="U30" s="95">
        <f>250*2*12</f>
        <v>6000</v>
      </c>
      <c r="V30" s="95"/>
    </row>
    <row r="31" spans="1:22" ht="15">
      <c r="A31" s="7" t="s">
        <v>0</v>
      </c>
      <c r="B31" s="37">
        <f>SUM(B29:B30)</f>
        <v>701316</v>
      </c>
      <c r="C31" s="41" t="s">
        <v>29</v>
      </c>
      <c r="D31" s="42">
        <f>1*B12</f>
        <v>16500</v>
      </c>
      <c r="E31" s="17" t="s">
        <v>5</v>
      </c>
      <c r="F31" s="90">
        <f>SUM(F29:F30)</f>
        <v>42.504</v>
      </c>
      <c r="O31" s="92" t="s">
        <v>97</v>
      </c>
      <c r="P31" s="92"/>
      <c r="Q31" s="92"/>
      <c r="R31" s="94">
        <v>0.44</v>
      </c>
      <c r="S31" s="92"/>
      <c r="U31" s="95">
        <f>U29*0.44</f>
        <v>47520</v>
      </c>
      <c r="V31" s="95">
        <f>F25*0.44</f>
        <v>95436</v>
      </c>
    </row>
    <row r="32" spans="1:22" ht="15.75">
      <c r="A32" s="7"/>
      <c r="B32" s="37"/>
      <c r="C32" s="41"/>
      <c r="D32" s="42"/>
      <c r="E32" s="17"/>
      <c r="F32" s="38"/>
      <c r="O32" s="92" t="s">
        <v>98</v>
      </c>
      <c r="P32" s="92"/>
      <c r="Q32" s="92"/>
      <c r="R32" s="93">
        <v>23.8</v>
      </c>
      <c r="S32" s="92" t="s">
        <v>99</v>
      </c>
      <c r="V32" s="95">
        <f>R32*B10</f>
        <v>98175</v>
      </c>
    </row>
    <row r="33" spans="1:22" ht="15.75">
      <c r="A33" s="7"/>
      <c r="B33" s="37"/>
      <c r="C33" s="41"/>
      <c r="D33" s="42"/>
      <c r="E33" s="17"/>
      <c r="F33" s="38"/>
      <c r="O33" s="92" t="s">
        <v>100</v>
      </c>
      <c r="P33" s="92"/>
      <c r="Q33" s="92"/>
      <c r="R33" s="93">
        <v>20</v>
      </c>
      <c r="S33" s="92" t="s">
        <v>99</v>
      </c>
      <c r="V33" s="95">
        <f>R33*B10</f>
        <v>82500</v>
      </c>
    </row>
    <row r="34" spans="1:22" ht="15.75">
      <c r="A34" s="7"/>
      <c r="B34" s="37"/>
      <c r="C34" s="41"/>
      <c r="D34" s="42"/>
      <c r="E34" s="17"/>
      <c r="F34" s="38"/>
      <c r="O34" s="92" t="s">
        <v>101</v>
      </c>
      <c r="P34" s="92"/>
      <c r="Q34" s="92"/>
      <c r="R34" s="93">
        <v>2.2</v>
      </c>
      <c r="S34" s="92" t="s">
        <v>102</v>
      </c>
      <c r="V34" s="95">
        <f>11*B10*R34</f>
        <v>99825.00000000001</v>
      </c>
    </row>
    <row r="35" spans="1:22" ht="15.75">
      <c r="A35" s="7"/>
      <c r="B35" s="37"/>
      <c r="C35" s="41"/>
      <c r="D35" s="42"/>
      <c r="E35" s="17"/>
      <c r="F35" s="38"/>
      <c r="O35" s="92" t="s">
        <v>103</v>
      </c>
      <c r="P35" s="92"/>
      <c r="Q35" s="92"/>
      <c r="R35" s="93">
        <v>4500</v>
      </c>
      <c r="S35" s="92" t="s">
        <v>95</v>
      </c>
      <c r="U35" s="95">
        <f>R35*12</f>
        <v>54000</v>
      </c>
      <c r="V35" s="95"/>
    </row>
    <row r="36" spans="1:22" ht="15.75">
      <c r="A36" s="7"/>
      <c r="B36" s="37"/>
      <c r="C36" s="41"/>
      <c r="D36" s="42"/>
      <c r="E36" s="17"/>
      <c r="F36" s="38"/>
      <c r="O36" s="92" t="s">
        <v>104</v>
      </c>
      <c r="P36" s="92"/>
      <c r="Q36" s="92"/>
      <c r="R36" s="93">
        <v>7850</v>
      </c>
      <c r="S36" s="92" t="s">
        <v>95</v>
      </c>
      <c r="U36" s="95">
        <f>R36*12</f>
        <v>94200</v>
      </c>
      <c r="V36" s="95"/>
    </row>
    <row r="37" spans="1:22" ht="15.75">
      <c r="A37" s="7"/>
      <c r="B37" s="37"/>
      <c r="C37" s="41"/>
      <c r="D37" s="42"/>
      <c r="E37" s="17"/>
      <c r="F37" s="38"/>
      <c r="O37" s="92" t="s">
        <v>105</v>
      </c>
      <c r="P37" s="92"/>
      <c r="Q37" s="92"/>
      <c r="R37" s="93">
        <v>15660</v>
      </c>
      <c r="S37" s="92" t="s">
        <v>107</v>
      </c>
      <c r="U37" s="95">
        <f>R37</f>
        <v>15660</v>
      </c>
      <c r="V37" s="95"/>
    </row>
    <row r="38" spans="1:22" ht="14.25" thickBot="1">
      <c r="A38" s="7"/>
      <c r="B38" s="37"/>
      <c r="C38" s="41"/>
      <c r="D38" s="42"/>
      <c r="E38" s="17"/>
      <c r="F38" s="38"/>
      <c r="T38" t="s">
        <v>108</v>
      </c>
      <c r="U38" s="96">
        <f>SUM(U29:U37)</f>
        <v>325380</v>
      </c>
      <c r="V38" s="96">
        <f>SUM(V29:V37)</f>
        <v>375936</v>
      </c>
    </row>
    <row r="39" spans="1:6" ht="18" thickTop="1">
      <c r="A39" s="34" t="s">
        <v>16</v>
      </c>
      <c r="B39" s="7"/>
      <c r="C39" s="7"/>
      <c r="D39" s="7"/>
      <c r="E39" s="7"/>
      <c r="F39" s="7"/>
    </row>
    <row r="40" spans="1:6" ht="12.75">
      <c r="A40" s="7" t="s">
        <v>8</v>
      </c>
      <c r="B40" s="24">
        <v>26</v>
      </c>
      <c r="C40" s="7"/>
      <c r="D40" s="7"/>
      <c r="E40" s="7"/>
      <c r="F40" s="7"/>
    </row>
    <row r="41" spans="1:6" ht="12.75">
      <c r="A41" s="7" t="s">
        <v>9</v>
      </c>
      <c r="B41" s="24">
        <v>15</v>
      </c>
      <c r="C41" s="7" t="s">
        <v>69</v>
      </c>
      <c r="D41" s="7"/>
      <c r="E41" s="7"/>
      <c r="F41" s="7"/>
    </row>
    <row r="42" spans="1:6" ht="12.75">
      <c r="A42" s="7" t="s">
        <v>10</v>
      </c>
      <c r="B42" s="24">
        <v>4</v>
      </c>
      <c r="C42" s="7" t="s">
        <v>70</v>
      </c>
      <c r="D42" s="7"/>
      <c r="E42" s="7"/>
      <c r="F42" s="7"/>
    </row>
    <row r="43" spans="1:6" ht="13.5" thickBot="1">
      <c r="A43" s="7"/>
      <c r="B43" s="24"/>
      <c r="C43" s="7"/>
      <c r="D43" s="7"/>
      <c r="E43" s="7"/>
      <c r="F43" s="7"/>
    </row>
    <row r="44" spans="1:6" ht="13.5" thickBot="1">
      <c r="A44" s="13" t="s">
        <v>11</v>
      </c>
      <c r="B44" s="33">
        <f>B40*B41</f>
        <v>390</v>
      </c>
      <c r="C44" s="7"/>
      <c r="D44" s="7"/>
      <c r="E44" s="7"/>
      <c r="F44" s="7"/>
    </row>
    <row r="45" spans="1:6" ht="13.5" thickBot="1">
      <c r="A45" s="7"/>
      <c r="B45" s="8"/>
      <c r="C45" s="7"/>
      <c r="D45" s="7"/>
      <c r="E45" s="7"/>
      <c r="F45" s="7"/>
    </row>
    <row r="46" spans="1:6" ht="13.5" thickBot="1">
      <c r="A46" s="13" t="s">
        <v>12</v>
      </c>
      <c r="B46" s="33">
        <f>B44*B42</f>
        <v>1560</v>
      </c>
      <c r="C46" s="7"/>
      <c r="D46" s="7"/>
      <c r="E46" s="7"/>
      <c r="F46" s="7"/>
    </row>
    <row r="47" spans="1:6" ht="12.75">
      <c r="A47" s="7"/>
      <c r="B47" s="8"/>
      <c r="C47" s="7"/>
      <c r="D47" s="7"/>
      <c r="E47" s="7"/>
      <c r="F47" s="7"/>
    </row>
    <row r="48" spans="1:6" ht="12.75">
      <c r="A48" s="13" t="s">
        <v>131</v>
      </c>
      <c r="B48" s="252" t="s">
        <v>74</v>
      </c>
      <c r="C48" s="252"/>
      <c r="D48" s="22" t="s">
        <v>72</v>
      </c>
      <c r="E48" s="252" t="s">
        <v>73</v>
      </c>
      <c r="F48" s="252"/>
    </row>
    <row r="49" spans="1:6" ht="12.75">
      <c r="A49" s="7" t="s">
        <v>109</v>
      </c>
      <c r="B49" s="249">
        <v>10200</v>
      </c>
      <c r="C49" s="250"/>
      <c r="D49" s="31">
        <v>15300</v>
      </c>
      <c r="E49" s="249">
        <v>25200</v>
      </c>
      <c r="F49" s="250"/>
    </row>
    <row r="50" spans="1:6" ht="12.75">
      <c r="A50" s="7" t="s">
        <v>22</v>
      </c>
      <c r="B50" s="249">
        <v>18600</v>
      </c>
      <c r="C50" s="250"/>
      <c r="D50" s="31">
        <v>18000</v>
      </c>
      <c r="E50" s="249">
        <v>10080</v>
      </c>
      <c r="F50" s="250"/>
    </row>
    <row r="51" spans="1:6" ht="12.75">
      <c r="A51" s="7" t="s">
        <v>23</v>
      </c>
      <c r="B51" s="250"/>
      <c r="C51" s="250"/>
      <c r="D51" s="17">
        <v>1008</v>
      </c>
      <c r="E51" s="249"/>
      <c r="F51" s="250"/>
    </row>
    <row r="52" spans="1:6" ht="12.75">
      <c r="A52" s="7" t="s">
        <v>110</v>
      </c>
      <c r="B52" s="249"/>
      <c r="C52" s="250"/>
      <c r="D52" s="58">
        <v>0.75</v>
      </c>
      <c r="E52" s="251"/>
      <c r="F52" s="250"/>
    </row>
    <row r="53" spans="1:6" ht="12.75">
      <c r="A53" s="7" t="s">
        <v>24</v>
      </c>
      <c r="B53" s="251"/>
      <c r="C53" s="251"/>
      <c r="D53" s="97">
        <f>D52*D51</f>
        <v>756</v>
      </c>
      <c r="E53" s="250"/>
      <c r="F53" s="250"/>
    </row>
    <row r="54" spans="1:6" ht="12.75">
      <c r="A54" s="7"/>
      <c r="B54" s="58"/>
      <c r="C54" s="58"/>
      <c r="D54" s="45"/>
      <c r="E54" s="7"/>
      <c r="F54" s="7"/>
    </row>
    <row r="55" spans="1:6" ht="12.75">
      <c r="A55" s="7" t="s">
        <v>31</v>
      </c>
      <c r="B55" s="249">
        <v>24000</v>
      </c>
      <c r="C55" s="250"/>
      <c r="D55" s="31">
        <v>31500</v>
      </c>
      <c r="E55" s="249">
        <v>33600</v>
      </c>
      <c r="F55" s="249"/>
    </row>
    <row r="56" spans="1:6" ht="13.5" thickBot="1">
      <c r="A56" s="7"/>
      <c r="B56" s="24"/>
      <c r="C56" s="7"/>
      <c r="D56" s="7"/>
      <c r="E56" s="7"/>
      <c r="F56" s="7"/>
    </row>
    <row r="57" spans="1:6" ht="13.5" thickBot="1">
      <c r="A57" s="13" t="s">
        <v>13</v>
      </c>
      <c r="B57" s="27">
        <v>21825</v>
      </c>
      <c r="C57" s="253" t="s">
        <v>5</v>
      </c>
      <c r="D57" s="269">
        <f>SUM(B57/B58)</f>
        <v>13.990384615384615</v>
      </c>
      <c r="E57" s="7"/>
      <c r="F57" s="7"/>
    </row>
    <row r="58" spans="1:6" ht="13.5" thickBot="1">
      <c r="A58" s="7"/>
      <c r="B58" s="31">
        <f>1*B46</f>
        <v>1560</v>
      </c>
      <c r="C58" s="253"/>
      <c r="D58" s="270"/>
      <c r="E58" s="7"/>
      <c r="F58" s="7"/>
    </row>
    <row r="59" spans="1:6" ht="12.75">
      <c r="A59" s="7"/>
      <c r="B59" s="24"/>
      <c r="C59" s="7"/>
      <c r="D59" s="7"/>
      <c r="E59" s="7"/>
      <c r="F59" s="7"/>
    </row>
    <row r="60" spans="1:6" ht="12.75">
      <c r="A60" s="13" t="s">
        <v>14</v>
      </c>
      <c r="B60" s="32"/>
      <c r="C60" s="39"/>
      <c r="D60" s="40"/>
      <c r="E60" s="7"/>
      <c r="F60" s="7"/>
    </row>
    <row r="61" spans="1:6" ht="13.5">
      <c r="A61" s="7" t="s">
        <v>28</v>
      </c>
      <c r="B61" s="36">
        <v>29535</v>
      </c>
      <c r="C61" s="41" t="s">
        <v>29</v>
      </c>
      <c r="D61" s="42">
        <f>B46</f>
        <v>1560</v>
      </c>
      <c r="E61" s="17" t="s">
        <v>5</v>
      </c>
      <c r="F61" s="98">
        <f>SUM(B61/D61)</f>
        <v>18.932692307692307</v>
      </c>
    </row>
    <row r="62" spans="1:6" ht="13.5">
      <c r="A62" s="7" t="s">
        <v>30</v>
      </c>
      <c r="B62" s="43">
        <v>34125</v>
      </c>
      <c r="C62" s="41" t="s">
        <v>29</v>
      </c>
      <c r="D62" s="42">
        <f>B46</f>
        <v>1560</v>
      </c>
      <c r="E62" s="17" t="s">
        <v>5</v>
      </c>
      <c r="F62" s="99">
        <f>SUM(B62/D62)</f>
        <v>21.875</v>
      </c>
    </row>
    <row r="63" spans="1:6" ht="13.5">
      <c r="A63" s="7" t="s">
        <v>0</v>
      </c>
      <c r="B63" s="37">
        <f>SUM(B61:B62)</f>
        <v>63660</v>
      </c>
      <c r="C63" s="41" t="s">
        <v>29</v>
      </c>
      <c r="D63" s="42">
        <v>1500</v>
      </c>
      <c r="E63" s="17" t="s">
        <v>5</v>
      </c>
      <c r="F63" s="98">
        <f>B63/D63</f>
        <v>42.44</v>
      </c>
    </row>
    <row r="64" spans="1:6" ht="12.75">
      <c r="A64" s="7"/>
      <c r="B64" s="24"/>
      <c r="C64" s="7"/>
      <c r="D64" s="7"/>
      <c r="E64" s="7"/>
      <c r="F64" s="7"/>
    </row>
    <row r="65" spans="1:6" ht="12.75">
      <c r="A65" s="7"/>
      <c r="B65" s="24"/>
      <c r="C65" s="7"/>
      <c r="D65" s="7"/>
      <c r="E65" s="7"/>
      <c r="F65" s="7"/>
    </row>
    <row r="66" spans="1:6" ht="12.75">
      <c r="A66" s="7"/>
      <c r="B66" s="24"/>
      <c r="C66" s="7"/>
      <c r="D66" s="7"/>
      <c r="E66" s="7"/>
      <c r="F66" s="7"/>
    </row>
    <row r="67" spans="1:6" ht="12.75">
      <c r="A67" s="7"/>
      <c r="B67" s="24"/>
      <c r="C67" s="7"/>
      <c r="D67" s="7"/>
      <c r="E67" s="7"/>
      <c r="F67" s="7"/>
    </row>
    <row r="68" spans="1:6" ht="12.75">
      <c r="A68" s="7"/>
      <c r="B68" s="24"/>
      <c r="C68" s="7"/>
      <c r="D68" s="7"/>
      <c r="E68" s="7"/>
      <c r="F68" s="7"/>
    </row>
    <row r="69" spans="1:6" ht="12.75">
      <c r="A69" s="7"/>
      <c r="B69" s="24"/>
      <c r="C69" s="7"/>
      <c r="D69" s="7"/>
      <c r="E69" s="7"/>
      <c r="F69" s="7"/>
    </row>
    <row r="70" spans="1:6" ht="12.75">
      <c r="A70" s="7"/>
      <c r="C70" s="7"/>
      <c r="D70" s="7"/>
      <c r="E70" s="7"/>
      <c r="F70" s="7"/>
    </row>
    <row r="71" spans="1:6" ht="12.75">
      <c r="A71" s="7"/>
      <c r="B71" s="24"/>
      <c r="C71" s="7"/>
      <c r="D71" s="7"/>
      <c r="E71" s="7"/>
      <c r="F71" s="7"/>
    </row>
    <row r="72" spans="1:6" ht="12.75">
      <c r="A72" s="7"/>
      <c r="B72" s="24"/>
      <c r="C72" s="7"/>
      <c r="D72" s="7"/>
      <c r="E72" s="7"/>
      <c r="F72" s="7"/>
    </row>
    <row r="73" spans="1:6" ht="12.75">
      <c r="A73" s="7"/>
      <c r="B73" s="24"/>
      <c r="C73" s="7"/>
      <c r="D73" s="7"/>
      <c r="E73" s="7"/>
      <c r="F73" s="7"/>
    </row>
    <row r="74" spans="1:6" ht="12.75">
      <c r="A74" s="7"/>
      <c r="B74" s="24"/>
      <c r="C74" s="7"/>
      <c r="D74" s="7"/>
      <c r="E74" s="7"/>
      <c r="F74" s="7"/>
    </row>
    <row r="75" spans="1:6" ht="12.75">
      <c r="A75" s="7"/>
      <c r="B75" s="24"/>
      <c r="C75" s="7"/>
      <c r="D75" s="7"/>
      <c r="E75" s="7"/>
      <c r="F75" s="7"/>
    </row>
    <row r="76" spans="1:6" ht="12.75">
      <c r="A76" s="7"/>
      <c r="B76" s="24"/>
      <c r="C76" s="7"/>
      <c r="D76" s="7"/>
      <c r="E76" s="7"/>
      <c r="F76" s="7"/>
    </row>
    <row r="77" spans="1:6" ht="12.75">
      <c r="A77" s="7"/>
      <c r="B77" s="24"/>
      <c r="C77" s="7"/>
      <c r="D77" s="7"/>
      <c r="E77" s="7"/>
      <c r="F77" s="7"/>
    </row>
    <row r="78" spans="1:6" ht="12.75">
      <c r="A78" s="7"/>
      <c r="B78" s="24"/>
      <c r="C78" s="7"/>
      <c r="D78" s="7"/>
      <c r="E78" s="7"/>
      <c r="F78" s="7"/>
    </row>
    <row r="79" spans="1:6" ht="12.75">
      <c r="A79" s="7"/>
      <c r="B79" s="24"/>
      <c r="C79" s="7"/>
      <c r="D79" s="7"/>
      <c r="E79" s="7"/>
      <c r="F79" s="7"/>
    </row>
    <row r="80" spans="1:6" ht="12.75">
      <c r="A80" s="7"/>
      <c r="B80" s="24"/>
      <c r="C80" s="7"/>
      <c r="D80" s="7"/>
      <c r="E80" s="7"/>
      <c r="F80" s="7"/>
    </row>
    <row r="81" spans="1:6" ht="12.75">
      <c r="A81" s="7"/>
      <c r="B81" s="24"/>
      <c r="C81" s="7"/>
      <c r="D81" s="7"/>
      <c r="E81" s="7"/>
      <c r="F81" s="7"/>
    </row>
    <row r="82" spans="1:6" ht="12.75">
      <c r="A82" s="7"/>
      <c r="B82" s="24"/>
      <c r="C82" s="7"/>
      <c r="D82" s="7"/>
      <c r="E82" s="7"/>
      <c r="F82" s="7"/>
    </row>
    <row r="83" spans="1:6" ht="12.75">
      <c r="A83" s="7"/>
      <c r="B83" s="24"/>
      <c r="C83" s="7"/>
      <c r="D83" s="7"/>
      <c r="E83" s="7"/>
      <c r="F83" s="7"/>
    </row>
    <row r="84" spans="1:6" ht="12.75">
      <c r="A84" s="7"/>
      <c r="B84" s="24"/>
      <c r="C84" s="7"/>
      <c r="D84" s="7"/>
      <c r="E84" s="7"/>
      <c r="F84" s="7"/>
    </row>
    <row r="85" spans="1:6" ht="12.75">
      <c r="A85" s="7"/>
      <c r="B85" s="24"/>
      <c r="C85" s="7"/>
      <c r="D85" s="7"/>
      <c r="E85" s="7"/>
      <c r="F85" s="7"/>
    </row>
    <row r="86" spans="1:6" ht="12.75">
      <c r="A86" s="7"/>
      <c r="B86" s="24"/>
      <c r="C86" s="7"/>
      <c r="D86" s="7"/>
      <c r="E86" s="7"/>
      <c r="F86" s="7"/>
    </row>
    <row r="87" spans="1:6" ht="12.75">
      <c r="A87" s="7"/>
      <c r="B87" s="24"/>
      <c r="C87" s="7"/>
      <c r="D87" s="7"/>
      <c r="E87" s="7"/>
      <c r="F87" s="7"/>
    </row>
    <row r="88" spans="1:6" ht="12.75">
      <c r="A88" s="7"/>
      <c r="B88" s="24"/>
      <c r="C88" s="7"/>
      <c r="D88" s="7"/>
      <c r="E88" s="7"/>
      <c r="F88" s="7"/>
    </row>
    <row r="89" spans="1:6" ht="12.75">
      <c r="A89" s="7"/>
      <c r="B89" s="24"/>
      <c r="C89" s="7"/>
      <c r="D89" s="7"/>
      <c r="E89" s="7"/>
      <c r="F89" s="7"/>
    </row>
    <row r="90" spans="1:6" ht="12.75">
      <c r="A90" s="7"/>
      <c r="B90" s="24"/>
      <c r="C90" s="7"/>
      <c r="D90" s="7"/>
      <c r="E90" s="7"/>
      <c r="F90" s="7"/>
    </row>
    <row r="91" spans="1:6" ht="12.75">
      <c r="A91" s="7"/>
      <c r="B91" s="24"/>
      <c r="C91" s="7"/>
      <c r="D91" s="7"/>
      <c r="E91" s="7"/>
      <c r="F91" s="7"/>
    </row>
    <row r="92" spans="1:6" ht="12.75">
      <c r="A92" s="7"/>
      <c r="B92" s="24"/>
      <c r="C92" s="7"/>
      <c r="D92" s="7"/>
      <c r="E92" s="7"/>
      <c r="F92" s="7"/>
    </row>
    <row r="93" spans="1:6" ht="12.75">
      <c r="A93" s="7"/>
      <c r="B93" s="24"/>
      <c r="C93" s="7"/>
      <c r="D93" s="7"/>
      <c r="E93" s="7"/>
      <c r="F93" s="7"/>
    </row>
    <row r="94" spans="1:6" ht="12.75">
      <c r="A94" s="7"/>
      <c r="B94" s="24"/>
      <c r="C94" s="7"/>
      <c r="D94" s="7"/>
      <c r="E94" s="7"/>
      <c r="F94" s="7"/>
    </row>
    <row r="95" spans="1:6" ht="12.75">
      <c r="A95" s="7"/>
      <c r="B95" s="24"/>
      <c r="C95" s="7"/>
      <c r="D95" s="7"/>
      <c r="E95" s="7"/>
      <c r="F95" s="7"/>
    </row>
    <row r="96" spans="1:6" ht="12.75">
      <c r="A96" s="7"/>
      <c r="B96" s="24"/>
      <c r="C96" s="7"/>
      <c r="D96" s="7"/>
      <c r="E96" s="7"/>
      <c r="F96" s="7"/>
    </row>
    <row r="97" spans="1:6" ht="12.75">
      <c r="A97" s="7"/>
      <c r="B97" s="24"/>
      <c r="C97" s="7"/>
      <c r="D97" s="7"/>
      <c r="E97" s="7"/>
      <c r="F97" s="7"/>
    </row>
    <row r="98" spans="1:6" ht="12.75">
      <c r="A98" s="7"/>
      <c r="B98" s="24"/>
      <c r="C98" s="7"/>
      <c r="D98" s="7"/>
      <c r="E98" s="7"/>
      <c r="F98" s="7"/>
    </row>
    <row r="99" spans="1:6" ht="12.75">
      <c r="A99" s="7"/>
      <c r="B99" s="24"/>
      <c r="C99" s="7"/>
      <c r="D99" s="7"/>
      <c r="E99" s="7"/>
      <c r="F99" s="7"/>
    </row>
    <row r="100" spans="1:6" ht="12.75">
      <c r="A100" s="7"/>
      <c r="B100" s="24"/>
      <c r="C100" s="7"/>
      <c r="D100" s="7"/>
      <c r="E100" s="7"/>
      <c r="F100" s="7"/>
    </row>
    <row r="101" spans="1:6" ht="12.75">
      <c r="A101" s="7"/>
      <c r="B101" s="24"/>
      <c r="C101" s="7"/>
      <c r="D101" s="7"/>
      <c r="E101" s="7"/>
      <c r="F101" s="7"/>
    </row>
    <row r="102" spans="1:6" ht="12.75">
      <c r="A102" s="7"/>
      <c r="B102" s="24"/>
      <c r="C102" s="7"/>
      <c r="D102" s="7"/>
      <c r="E102" s="7"/>
      <c r="F102" s="7"/>
    </row>
    <row r="103" spans="1:6" ht="12.75">
      <c r="A103" s="7"/>
      <c r="B103" s="24"/>
      <c r="C103" s="7"/>
      <c r="D103" s="7"/>
      <c r="E103" s="7"/>
      <c r="F103" s="7"/>
    </row>
    <row r="104" spans="1:6" ht="12.75">
      <c r="A104" s="7"/>
      <c r="B104" s="24"/>
      <c r="C104" s="7"/>
      <c r="D104" s="7"/>
      <c r="E104" s="7"/>
      <c r="F104" s="7"/>
    </row>
    <row r="105" spans="1:6" ht="12.75">
      <c r="A105" s="7"/>
      <c r="B105" s="24"/>
      <c r="C105" s="7"/>
      <c r="D105" s="7"/>
      <c r="E105" s="7"/>
      <c r="F105" s="7"/>
    </row>
    <row r="106" spans="1:6" ht="12.75">
      <c r="A106" s="7"/>
      <c r="B106" s="24"/>
      <c r="C106" s="7"/>
      <c r="D106" s="7"/>
      <c r="E106" s="7"/>
      <c r="F106" s="7"/>
    </row>
    <row r="107" spans="1:6" ht="12.75">
      <c r="A107" s="7"/>
      <c r="B107" s="24"/>
      <c r="C107" s="7"/>
      <c r="D107" s="7"/>
      <c r="E107" s="7"/>
      <c r="F107" s="7"/>
    </row>
    <row r="108" spans="1:6" ht="12.75">
      <c r="A108" s="7"/>
      <c r="B108" s="24"/>
      <c r="C108" s="7"/>
      <c r="D108" s="7"/>
      <c r="E108" s="7"/>
      <c r="F108" s="7"/>
    </row>
    <row r="109" spans="1:6" ht="12.75">
      <c r="A109" s="7"/>
      <c r="B109" s="24"/>
      <c r="C109" s="7"/>
      <c r="D109" s="7"/>
      <c r="E109" s="7"/>
      <c r="F109" s="7"/>
    </row>
    <row r="110" spans="1:6" ht="12.75">
      <c r="A110" s="7"/>
      <c r="B110" s="24"/>
      <c r="C110" s="7"/>
      <c r="D110" s="7"/>
      <c r="E110" s="7"/>
      <c r="F110" s="7"/>
    </row>
    <row r="111" spans="1:6" ht="12.75">
      <c r="A111" s="7"/>
      <c r="B111" s="24"/>
      <c r="C111" s="7"/>
      <c r="D111" s="7"/>
      <c r="E111" s="7"/>
      <c r="F111" s="7"/>
    </row>
    <row r="112" spans="1:6" ht="12.75">
      <c r="A112" s="7"/>
      <c r="B112" s="24"/>
      <c r="C112" s="7"/>
      <c r="D112" s="7"/>
      <c r="E112" s="7"/>
      <c r="F112" s="7"/>
    </row>
    <row r="113" spans="1:6" ht="12.75">
      <c r="A113" s="7"/>
      <c r="B113" s="24"/>
      <c r="C113" s="7"/>
      <c r="D113" s="7"/>
      <c r="E113" s="7"/>
      <c r="F113" s="7"/>
    </row>
    <row r="114" spans="1:6" ht="12.75">
      <c r="A114" s="7"/>
      <c r="B114" s="24"/>
      <c r="C114" s="7"/>
      <c r="D114" s="7"/>
      <c r="E114" s="7"/>
      <c r="F114" s="7"/>
    </row>
    <row r="115" spans="1:6" ht="12.75">
      <c r="A115" s="7"/>
      <c r="B115" s="24"/>
      <c r="C115" s="7"/>
      <c r="D115" s="7"/>
      <c r="E115" s="7"/>
      <c r="F115" s="7"/>
    </row>
    <row r="116" spans="1:6" ht="12.75">
      <c r="A116" s="7"/>
      <c r="B116" s="24"/>
      <c r="C116" s="7"/>
      <c r="D116" s="7"/>
      <c r="E116" s="7"/>
      <c r="F116" s="7"/>
    </row>
    <row r="117" spans="1:6" ht="12.75">
      <c r="A117" s="7"/>
      <c r="B117" s="24"/>
      <c r="C117" s="7"/>
      <c r="D117" s="7"/>
      <c r="E117" s="7"/>
      <c r="F117" s="7"/>
    </row>
    <row r="118" spans="1:6" ht="12.75">
      <c r="A118" s="7"/>
      <c r="B118" s="24"/>
      <c r="C118" s="7"/>
      <c r="D118" s="7"/>
      <c r="E118" s="7"/>
      <c r="F118" s="7"/>
    </row>
    <row r="119" spans="1:6" ht="12.75">
      <c r="A119" s="7"/>
      <c r="B119" s="24"/>
      <c r="C119" s="7"/>
      <c r="D119" s="7"/>
      <c r="E119" s="7"/>
      <c r="F119" s="7"/>
    </row>
    <row r="120" spans="1:6" ht="12.75">
      <c r="A120" s="7"/>
      <c r="B120" s="24"/>
      <c r="C120" s="7"/>
      <c r="D120" s="7"/>
      <c r="E120" s="7"/>
      <c r="F120" s="7"/>
    </row>
    <row r="121" spans="1:6" ht="12.75">
      <c r="A121" s="7"/>
      <c r="B121" s="24"/>
      <c r="C121" s="7"/>
      <c r="D121" s="7"/>
      <c r="E121" s="7"/>
      <c r="F121" s="7"/>
    </row>
    <row r="122" spans="1:6" ht="12.75">
      <c r="A122" s="7"/>
      <c r="B122" s="24"/>
      <c r="C122" s="7"/>
      <c r="D122" s="7"/>
      <c r="E122" s="7"/>
      <c r="F122" s="7"/>
    </row>
    <row r="123" spans="1:6" ht="12.75">
      <c r="A123" s="7"/>
      <c r="B123" s="24"/>
      <c r="C123" s="7"/>
      <c r="D123" s="7"/>
      <c r="E123" s="7"/>
      <c r="F123" s="7"/>
    </row>
    <row r="124" spans="1:6" ht="12.75">
      <c r="A124" s="7"/>
      <c r="B124" s="24"/>
      <c r="C124" s="7"/>
      <c r="D124" s="7"/>
      <c r="E124" s="7"/>
      <c r="F124" s="7"/>
    </row>
    <row r="125" spans="1:6" ht="12.75">
      <c r="A125" s="7"/>
      <c r="B125" s="24"/>
      <c r="C125" s="7"/>
      <c r="D125" s="7"/>
      <c r="E125" s="7"/>
      <c r="F125" s="7"/>
    </row>
    <row r="126" spans="1:6" ht="12.75">
      <c r="A126" s="7"/>
      <c r="B126" s="24"/>
      <c r="C126" s="7"/>
      <c r="D126" s="7"/>
      <c r="E126" s="7"/>
      <c r="F126" s="7"/>
    </row>
    <row r="127" spans="1:6" ht="12.75">
      <c r="A127" s="7"/>
      <c r="B127" s="24"/>
      <c r="C127" s="7"/>
      <c r="D127" s="7"/>
      <c r="E127" s="7"/>
      <c r="F127" s="7"/>
    </row>
    <row r="128" spans="1:6" ht="12.75">
      <c r="A128" s="7"/>
      <c r="B128" s="24"/>
      <c r="C128" s="7"/>
      <c r="D128" s="7"/>
      <c r="E128" s="7"/>
      <c r="F128" s="7"/>
    </row>
    <row r="129" spans="1:6" ht="12.75">
      <c r="A129" s="7"/>
      <c r="B129" s="24"/>
      <c r="C129" s="7"/>
      <c r="D129" s="7"/>
      <c r="E129" s="7"/>
      <c r="F129" s="7"/>
    </row>
    <row r="130" spans="1:6" ht="12.75">
      <c r="A130" s="7"/>
      <c r="B130" s="24"/>
      <c r="C130" s="7"/>
      <c r="D130" s="7"/>
      <c r="E130" s="7"/>
      <c r="F130" s="7"/>
    </row>
    <row r="131" spans="1:6" ht="12.75">
      <c r="A131" s="7"/>
      <c r="B131" s="24"/>
      <c r="C131" s="7"/>
      <c r="D131" s="7"/>
      <c r="E131" s="7"/>
      <c r="F131" s="7"/>
    </row>
    <row r="132" spans="1:6" ht="12.75">
      <c r="A132" s="7"/>
      <c r="B132" s="24"/>
      <c r="C132" s="7"/>
      <c r="D132" s="7"/>
      <c r="E132" s="7"/>
      <c r="F132" s="7"/>
    </row>
    <row r="133" spans="1:6" ht="12.75">
      <c r="A133" s="7"/>
      <c r="B133" s="24"/>
      <c r="C133" s="7"/>
      <c r="D133" s="7"/>
      <c r="E133" s="7"/>
      <c r="F133" s="7"/>
    </row>
    <row r="134" spans="1:6" ht="12.75">
      <c r="A134" s="7"/>
      <c r="B134" s="24"/>
      <c r="C134" s="7"/>
      <c r="D134" s="7"/>
      <c r="E134" s="7"/>
      <c r="F134" s="7"/>
    </row>
    <row r="135" spans="1:6" ht="12.75">
      <c r="A135" s="7"/>
      <c r="B135" s="24"/>
      <c r="C135" s="7"/>
      <c r="D135" s="7"/>
      <c r="E135" s="7"/>
      <c r="F135" s="7"/>
    </row>
    <row r="136" spans="1:6" ht="12.75">
      <c r="A136" s="7"/>
      <c r="B136" s="24"/>
      <c r="C136" s="7"/>
      <c r="D136" s="7"/>
      <c r="E136" s="7"/>
      <c r="F136" s="7"/>
    </row>
    <row r="137" spans="1:6" ht="12.75">
      <c r="A137" s="7"/>
      <c r="B137" s="24"/>
      <c r="C137" s="7"/>
      <c r="D137" s="7"/>
      <c r="E137" s="7"/>
      <c r="F137" s="7"/>
    </row>
    <row r="138" spans="1:6" ht="12.75">
      <c r="A138" s="7"/>
      <c r="B138" s="24"/>
      <c r="C138" s="7"/>
      <c r="D138" s="7"/>
      <c r="E138" s="7"/>
      <c r="F138" s="7"/>
    </row>
    <row r="139" spans="1:6" ht="12.75">
      <c r="A139" s="7"/>
      <c r="B139" s="24"/>
      <c r="C139" s="7"/>
      <c r="D139" s="7"/>
      <c r="E139" s="7"/>
      <c r="F139" s="7"/>
    </row>
    <row r="140" spans="1:6" ht="12.75">
      <c r="A140" s="7"/>
      <c r="B140" s="24"/>
      <c r="C140" s="7"/>
      <c r="D140" s="7"/>
      <c r="E140" s="7"/>
      <c r="F140" s="7"/>
    </row>
    <row r="141" spans="1:6" ht="12.75">
      <c r="A141" s="7"/>
      <c r="B141" s="24"/>
      <c r="C141" s="7"/>
      <c r="D141" s="7"/>
      <c r="E141" s="7"/>
      <c r="F141" s="7"/>
    </row>
    <row r="142" spans="1:6" ht="12.75">
      <c r="A142" s="7"/>
      <c r="B142" s="24"/>
      <c r="C142" s="7"/>
      <c r="D142" s="7"/>
      <c r="E142" s="7"/>
      <c r="F142" s="7"/>
    </row>
    <row r="143" spans="1:6" ht="12.75">
      <c r="A143" s="7"/>
      <c r="B143" s="24"/>
      <c r="C143" s="7"/>
      <c r="D143" s="7"/>
      <c r="E143" s="7"/>
      <c r="F143" s="7"/>
    </row>
    <row r="144" spans="1:6" ht="12.75">
      <c r="A144" s="7"/>
      <c r="B144" s="24"/>
      <c r="C144" s="7"/>
      <c r="D144" s="7"/>
      <c r="E144" s="7"/>
      <c r="F144" s="7"/>
    </row>
    <row r="145" spans="1:6" ht="12.75">
      <c r="A145" s="7"/>
      <c r="B145" s="24"/>
      <c r="C145" s="7"/>
      <c r="D145" s="7"/>
      <c r="E145" s="7"/>
      <c r="F145" s="7"/>
    </row>
    <row r="146" spans="1:6" ht="12.75">
      <c r="A146" s="7"/>
      <c r="B146" s="24"/>
      <c r="C146" s="7"/>
      <c r="D146" s="7"/>
      <c r="E146" s="7"/>
      <c r="F146" s="7"/>
    </row>
    <row r="147" spans="1:6" ht="12.75">
      <c r="A147" s="7"/>
      <c r="B147" s="24"/>
      <c r="C147" s="7"/>
      <c r="D147" s="7"/>
      <c r="E147" s="7"/>
      <c r="F147" s="7"/>
    </row>
    <row r="148" spans="1:6" ht="12.75">
      <c r="A148" s="7"/>
      <c r="B148" s="24"/>
      <c r="C148" s="7"/>
      <c r="D148" s="7"/>
      <c r="E148" s="7"/>
      <c r="F148" s="7"/>
    </row>
    <row r="149" spans="1:6" ht="12.75">
      <c r="A149" s="7"/>
      <c r="B149" s="24"/>
      <c r="C149" s="7"/>
      <c r="D149" s="7"/>
      <c r="E149" s="7"/>
      <c r="F149" s="7"/>
    </row>
    <row r="150" spans="1:6" ht="12.75">
      <c r="A150" s="7"/>
      <c r="B150" s="24"/>
      <c r="C150" s="7"/>
      <c r="D150" s="7"/>
      <c r="E150" s="7"/>
      <c r="F150" s="7"/>
    </row>
    <row r="151" spans="1:6" ht="12.75">
      <c r="A151" s="7"/>
      <c r="B151" s="24"/>
      <c r="C151" s="7"/>
      <c r="D151" s="7"/>
      <c r="E151" s="7"/>
      <c r="F151" s="7"/>
    </row>
    <row r="152" spans="1:6" ht="12.75">
      <c r="A152" s="7"/>
      <c r="B152" s="24"/>
      <c r="C152" s="7"/>
      <c r="D152" s="7"/>
      <c r="E152" s="7"/>
      <c r="F152" s="7"/>
    </row>
    <row r="153" spans="1:6" ht="12.75">
      <c r="A153" s="7"/>
      <c r="B153" s="24"/>
      <c r="C153" s="7"/>
      <c r="D153" s="7"/>
      <c r="E153" s="7"/>
      <c r="F153" s="7"/>
    </row>
    <row r="154" spans="1:6" ht="12.75">
      <c r="A154" s="7"/>
      <c r="B154" s="24"/>
      <c r="C154" s="7"/>
      <c r="D154" s="7"/>
      <c r="E154" s="7"/>
      <c r="F154" s="7"/>
    </row>
    <row r="155" spans="1:6" ht="12.75">
      <c r="A155" s="7"/>
      <c r="B155" s="24"/>
      <c r="C155" s="7"/>
      <c r="D155" s="7"/>
      <c r="E155" s="7"/>
      <c r="F155" s="7"/>
    </row>
    <row r="156" spans="1:6" ht="12.75">
      <c r="A156" s="7"/>
      <c r="B156" s="24"/>
      <c r="C156" s="7"/>
      <c r="D156" s="7"/>
      <c r="E156" s="7"/>
      <c r="F156" s="7"/>
    </row>
    <row r="157" spans="1:6" ht="12.75">
      <c r="A157" s="7"/>
      <c r="B157" s="24"/>
      <c r="C157" s="7"/>
      <c r="D157" s="7"/>
      <c r="E157" s="7"/>
      <c r="F157" s="7"/>
    </row>
    <row r="158" spans="1:6" ht="12.75">
      <c r="A158" s="7"/>
      <c r="B158" s="24"/>
      <c r="C158" s="7"/>
      <c r="D158" s="7"/>
      <c r="E158" s="7"/>
      <c r="F158" s="7"/>
    </row>
    <row r="159" spans="1:6" ht="12.75">
      <c r="A159" s="7"/>
      <c r="B159" s="24"/>
      <c r="C159" s="7"/>
      <c r="D159" s="7"/>
      <c r="E159" s="7"/>
      <c r="F159" s="7"/>
    </row>
    <row r="160" spans="1:6" ht="12.75">
      <c r="A160" s="7"/>
      <c r="B160" s="24"/>
      <c r="C160" s="7"/>
      <c r="D160" s="7"/>
      <c r="E160" s="7"/>
      <c r="F160" s="7"/>
    </row>
    <row r="161" spans="1:6" ht="12.75">
      <c r="A161" s="7"/>
      <c r="B161" s="24"/>
      <c r="C161" s="7"/>
      <c r="D161" s="7"/>
      <c r="E161" s="7"/>
      <c r="F161" s="7"/>
    </row>
    <row r="162" spans="1:6" ht="12.75">
      <c r="A162" s="7"/>
      <c r="B162" s="24"/>
      <c r="C162" s="7"/>
      <c r="D162" s="7"/>
      <c r="E162" s="7"/>
      <c r="F162" s="7"/>
    </row>
    <row r="163" spans="1:6" ht="12.75">
      <c r="A163" s="7"/>
      <c r="B163" s="24"/>
      <c r="C163" s="7"/>
      <c r="D163" s="7"/>
      <c r="E163" s="7"/>
      <c r="F163" s="7"/>
    </row>
    <row r="164" spans="1:6" ht="12.75">
      <c r="A164" s="7"/>
      <c r="B164" s="24"/>
      <c r="C164" s="7"/>
      <c r="D164" s="7"/>
      <c r="E164" s="7"/>
      <c r="F164" s="7"/>
    </row>
    <row r="165" spans="1:6" ht="12.75">
      <c r="A165" s="7"/>
      <c r="B165" s="24"/>
      <c r="C165" s="7"/>
      <c r="D165" s="7"/>
      <c r="E165" s="7"/>
      <c r="F165" s="7"/>
    </row>
    <row r="166" spans="1:6" ht="12.75">
      <c r="A166" s="7"/>
      <c r="B166" s="24"/>
      <c r="C166" s="7"/>
      <c r="D166" s="7"/>
      <c r="E166" s="7"/>
      <c r="F166" s="7"/>
    </row>
    <row r="167" spans="1:6" ht="12.75">
      <c r="A167" s="7"/>
      <c r="B167" s="24"/>
      <c r="C167" s="7"/>
      <c r="D167" s="7"/>
      <c r="E167" s="7"/>
      <c r="F167" s="7"/>
    </row>
    <row r="168" spans="1:6" ht="12.75">
      <c r="A168" s="7"/>
      <c r="B168" s="24"/>
      <c r="C168" s="7"/>
      <c r="D168" s="7"/>
      <c r="E168" s="7"/>
      <c r="F168" s="7"/>
    </row>
    <row r="169" spans="1:6" ht="12.75">
      <c r="A169" s="7"/>
      <c r="B169" s="24"/>
      <c r="C169" s="7"/>
      <c r="D169" s="7"/>
      <c r="E169" s="7"/>
      <c r="F169" s="7"/>
    </row>
    <row r="170" spans="1:6" ht="12.75">
      <c r="A170" s="7"/>
      <c r="B170" s="24"/>
      <c r="C170" s="7"/>
      <c r="D170" s="7"/>
      <c r="E170" s="7"/>
      <c r="F170" s="7"/>
    </row>
    <row r="171" spans="1:6" ht="12.75">
      <c r="A171" s="7"/>
      <c r="B171" s="24"/>
      <c r="C171" s="7"/>
      <c r="D171" s="7"/>
      <c r="E171" s="7"/>
      <c r="F171" s="7"/>
    </row>
    <row r="172" spans="1:6" ht="12.75">
      <c r="A172" s="7"/>
      <c r="B172" s="24"/>
      <c r="C172" s="7"/>
      <c r="D172" s="7"/>
      <c r="E172" s="7"/>
      <c r="F172" s="7"/>
    </row>
    <row r="173" spans="1:6" ht="12.75">
      <c r="A173" s="7"/>
      <c r="B173" s="24"/>
      <c r="C173" s="7"/>
      <c r="D173" s="7"/>
      <c r="E173" s="7"/>
      <c r="F173" s="7"/>
    </row>
    <row r="174" spans="1:6" ht="12.75">
      <c r="A174" s="7"/>
      <c r="B174" s="24"/>
      <c r="C174" s="7"/>
      <c r="D174" s="7"/>
      <c r="E174" s="7"/>
      <c r="F174" s="7"/>
    </row>
    <row r="175" spans="1:6" ht="12.75">
      <c r="A175" s="7"/>
      <c r="B175" s="24"/>
      <c r="C175" s="7"/>
      <c r="D175" s="7"/>
      <c r="E175" s="7"/>
      <c r="F175" s="7"/>
    </row>
    <row r="176" spans="1:6" ht="12.75">
      <c r="A176" s="7"/>
      <c r="B176" s="24"/>
      <c r="C176" s="7"/>
      <c r="D176" s="7"/>
      <c r="E176" s="7"/>
      <c r="F176" s="7"/>
    </row>
    <row r="177" spans="1:6" ht="12.75">
      <c r="A177" s="7"/>
      <c r="B177" s="24"/>
      <c r="C177" s="7"/>
      <c r="D177" s="7"/>
      <c r="E177" s="7"/>
      <c r="F177" s="7"/>
    </row>
    <row r="178" spans="1:6" ht="12.75">
      <c r="A178" s="7"/>
      <c r="B178" s="24"/>
      <c r="C178" s="7"/>
      <c r="D178" s="7"/>
      <c r="E178" s="7"/>
      <c r="F178" s="7"/>
    </row>
    <row r="179" spans="1:6" ht="12.75">
      <c r="A179" s="7"/>
      <c r="B179" s="24"/>
      <c r="C179" s="7"/>
      <c r="D179" s="7"/>
      <c r="E179" s="7"/>
      <c r="F179" s="7"/>
    </row>
    <row r="180" spans="1:6" ht="12.75">
      <c r="A180" s="7"/>
      <c r="B180" s="24"/>
      <c r="C180" s="7"/>
      <c r="D180" s="7"/>
      <c r="E180" s="7"/>
      <c r="F180" s="7"/>
    </row>
    <row r="181" spans="1:6" ht="12.75">
      <c r="A181" s="7"/>
      <c r="B181" s="24"/>
      <c r="C181" s="7"/>
      <c r="D181" s="7"/>
      <c r="E181" s="7"/>
      <c r="F181" s="7"/>
    </row>
    <row r="182" spans="1:6" ht="12.75">
      <c r="A182" s="7"/>
      <c r="B182" s="24"/>
      <c r="C182" s="7"/>
      <c r="D182" s="7"/>
      <c r="E182" s="7"/>
      <c r="F182" s="7"/>
    </row>
    <row r="183" spans="1:6" ht="12.75">
      <c r="A183" s="7"/>
      <c r="B183" s="24"/>
      <c r="C183" s="7"/>
      <c r="D183" s="7"/>
      <c r="E183" s="7"/>
      <c r="F183" s="7"/>
    </row>
    <row r="184" spans="1:6" ht="12.75">
      <c r="A184" s="7"/>
      <c r="B184" s="24"/>
      <c r="C184" s="7"/>
      <c r="D184" s="7"/>
      <c r="E184" s="7"/>
      <c r="F184" s="7"/>
    </row>
    <row r="185" spans="1:6" ht="12.75">
      <c r="A185" s="7"/>
      <c r="B185" s="24"/>
      <c r="C185" s="7"/>
      <c r="D185" s="7"/>
      <c r="E185" s="7"/>
      <c r="F185" s="7"/>
    </row>
    <row r="186" spans="1:6" ht="12.75">
      <c r="A186" s="7"/>
      <c r="B186" s="24"/>
      <c r="C186" s="7"/>
      <c r="D186" s="7"/>
      <c r="E186" s="7"/>
      <c r="F186" s="7"/>
    </row>
    <row r="187" spans="1:6" ht="12.75">
      <c r="A187" s="7"/>
      <c r="B187" s="24"/>
      <c r="C187" s="7"/>
      <c r="D187" s="7"/>
      <c r="E187" s="7"/>
      <c r="F187" s="7"/>
    </row>
    <row r="188" spans="1:6" ht="12.75">
      <c r="A188" s="7"/>
      <c r="B188" s="24"/>
      <c r="C188" s="7"/>
      <c r="D188" s="7"/>
      <c r="E188" s="7"/>
      <c r="F188" s="7"/>
    </row>
    <row r="189" spans="1:6" ht="12.75">
      <c r="A189" s="7"/>
      <c r="B189" s="24"/>
      <c r="C189" s="7"/>
      <c r="D189" s="7"/>
      <c r="E189" s="7"/>
      <c r="F189" s="7"/>
    </row>
    <row r="190" spans="1:6" ht="12.75">
      <c r="A190" s="7"/>
      <c r="B190" s="24"/>
      <c r="C190" s="7"/>
      <c r="D190" s="7"/>
      <c r="E190" s="7"/>
      <c r="F190" s="7"/>
    </row>
    <row r="191" spans="1:6" ht="12.75">
      <c r="A191" s="7"/>
      <c r="B191" s="24"/>
      <c r="C191" s="7"/>
      <c r="D191" s="7"/>
      <c r="E191" s="7"/>
      <c r="F191" s="7"/>
    </row>
    <row r="192" spans="1:6" ht="12.75">
      <c r="A192" s="7"/>
      <c r="B192" s="24"/>
      <c r="C192" s="7"/>
      <c r="D192" s="7"/>
      <c r="E192" s="7"/>
      <c r="F192" s="7"/>
    </row>
    <row r="193" spans="1:6" ht="12.75">
      <c r="A193" s="7"/>
      <c r="B193" s="24"/>
      <c r="C193" s="7"/>
      <c r="D193" s="7"/>
      <c r="E193" s="7"/>
      <c r="F193" s="7"/>
    </row>
    <row r="194" spans="1:6" ht="12.75">
      <c r="A194" s="7"/>
      <c r="B194" s="24"/>
      <c r="C194" s="7"/>
      <c r="D194" s="7"/>
      <c r="E194" s="7"/>
      <c r="F194" s="7"/>
    </row>
    <row r="195" spans="1:6" ht="12.75">
      <c r="A195" s="7"/>
      <c r="B195" s="24"/>
      <c r="C195" s="7"/>
      <c r="D195" s="7"/>
      <c r="E195" s="7"/>
      <c r="F195" s="7"/>
    </row>
    <row r="196" spans="1:6" ht="12.75">
      <c r="A196" s="7"/>
      <c r="B196" s="24"/>
      <c r="C196" s="7"/>
      <c r="D196" s="7"/>
      <c r="E196" s="7"/>
      <c r="F196" s="7"/>
    </row>
    <row r="197" spans="1:6" ht="12.75">
      <c r="A197" s="7"/>
      <c r="B197" s="24"/>
      <c r="C197" s="7"/>
      <c r="D197" s="7"/>
      <c r="E197" s="7"/>
      <c r="F197" s="7"/>
    </row>
    <row r="198" spans="1:6" ht="12.75">
      <c r="A198" s="7"/>
      <c r="B198" s="24"/>
      <c r="C198" s="7"/>
      <c r="D198" s="7"/>
      <c r="E198" s="7"/>
      <c r="F198" s="7"/>
    </row>
    <row r="199" spans="1:6" ht="12.75">
      <c r="A199" s="7"/>
      <c r="B199" s="24"/>
      <c r="C199" s="7"/>
      <c r="D199" s="7"/>
      <c r="E199" s="7"/>
      <c r="F199" s="7"/>
    </row>
    <row r="200" spans="1:6" ht="12.75">
      <c r="A200" s="7"/>
      <c r="B200" s="24"/>
      <c r="C200" s="7"/>
      <c r="D200" s="7"/>
      <c r="E200" s="7"/>
      <c r="F200" s="7"/>
    </row>
    <row r="201" spans="1:6" ht="12.75">
      <c r="A201" s="7"/>
      <c r="B201" s="24"/>
      <c r="C201" s="7"/>
      <c r="D201" s="7"/>
      <c r="E201" s="7"/>
      <c r="F201" s="7"/>
    </row>
    <row r="202" spans="1:6" ht="12.75">
      <c r="A202" s="7"/>
      <c r="B202" s="24"/>
      <c r="C202" s="7"/>
      <c r="D202" s="7"/>
      <c r="E202" s="7"/>
      <c r="F202" s="7"/>
    </row>
    <row r="203" spans="1:6" ht="12.75">
      <c r="A203" s="7"/>
      <c r="B203" s="24"/>
      <c r="C203" s="7"/>
      <c r="D203" s="7"/>
      <c r="E203" s="7"/>
      <c r="F203" s="7"/>
    </row>
    <row r="204" spans="1:6" ht="12.75">
      <c r="A204" s="7"/>
      <c r="B204" s="24"/>
      <c r="C204" s="7"/>
      <c r="D204" s="7"/>
      <c r="E204" s="7"/>
      <c r="F204" s="7"/>
    </row>
    <row r="205" spans="1:6" ht="12.75">
      <c r="A205" s="7"/>
      <c r="B205" s="24"/>
      <c r="C205" s="7"/>
      <c r="D205" s="7"/>
      <c r="E205" s="7"/>
      <c r="F205" s="7"/>
    </row>
    <row r="206" spans="1:6" ht="12.75">
      <c r="A206" s="7"/>
      <c r="B206" s="24"/>
      <c r="C206" s="7"/>
      <c r="D206" s="7"/>
      <c r="E206" s="7"/>
      <c r="F206" s="7"/>
    </row>
    <row r="207" spans="1:6" ht="12.75">
      <c r="A207" s="7"/>
      <c r="B207" s="24"/>
      <c r="C207" s="7"/>
      <c r="D207" s="7"/>
      <c r="E207" s="7"/>
      <c r="F207" s="7"/>
    </row>
    <row r="208" spans="1:6" ht="12.75">
      <c r="A208" s="7"/>
      <c r="B208" s="24"/>
      <c r="C208" s="7"/>
      <c r="D208" s="7"/>
      <c r="E208" s="7"/>
      <c r="F208" s="7"/>
    </row>
    <row r="209" spans="1:6" ht="12.75">
      <c r="A209" s="7"/>
      <c r="B209" s="24"/>
      <c r="C209" s="7"/>
      <c r="D209" s="7"/>
      <c r="E209" s="7"/>
      <c r="F209" s="7"/>
    </row>
    <row r="210" spans="1:6" ht="12.75">
      <c r="A210" s="7"/>
      <c r="B210" s="24"/>
      <c r="C210" s="7"/>
      <c r="D210" s="7"/>
      <c r="E210" s="7"/>
      <c r="F210" s="7"/>
    </row>
    <row r="211" spans="1:6" ht="12.75">
      <c r="A211" s="7"/>
      <c r="B211" s="24"/>
      <c r="C211" s="7"/>
      <c r="D211" s="7"/>
      <c r="E211" s="7"/>
      <c r="F211" s="7"/>
    </row>
    <row r="212" spans="1:6" ht="12.75">
      <c r="A212" s="7"/>
      <c r="B212" s="24"/>
      <c r="C212" s="7"/>
      <c r="D212" s="7"/>
      <c r="E212" s="7"/>
      <c r="F212" s="7"/>
    </row>
    <row r="213" spans="1:6" ht="12.75">
      <c r="A213" s="7"/>
      <c r="B213" s="24"/>
      <c r="C213" s="7"/>
      <c r="D213" s="7"/>
      <c r="E213" s="7"/>
      <c r="F213" s="7"/>
    </row>
    <row r="214" spans="1:6" ht="12.75">
      <c r="A214" s="7"/>
      <c r="B214" s="24"/>
      <c r="C214" s="7"/>
      <c r="D214" s="7"/>
      <c r="E214" s="7"/>
      <c r="F214" s="7"/>
    </row>
    <row r="215" spans="1:6" ht="12.75">
      <c r="A215" s="7"/>
      <c r="B215" s="24"/>
      <c r="C215" s="7"/>
      <c r="D215" s="7"/>
      <c r="E215" s="7"/>
      <c r="F215" s="7"/>
    </row>
    <row r="216" spans="1:6" ht="12.75">
      <c r="A216" s="7"/>
      <c r="B216" s="24"/>
      <c r="C216" s="7"/>
      <c r="D216" s="7"/>
      <c r="E216" s="7"/>
      <c r="F216" s="7"/>
    </row>
    <row r="217" spans="1:6" ht="12.75">
      <c r="A217" s="7"/>
      <c r="B217" s="24"/>
      <c r="C217" s="7"/>
      <c r="D217" s="7"/>
      <c r="E217" s="7"/>
      <c r="F217" s="7"/>
    </row>
    <row r="218" spans="1:6" ht="12.75">
      <c r="A218" s="7"/>
      <c r="B218" s="24"/>
      <c r="C218" s="7"/>
      <c r="D218" s="7"/>
      <c r="E218" s="7"/>
      <c r="F218" s="7"/>
    </row>
    <row r="219" spans="1:6" ht="12.75">
      <c r="A219" s="7"/>
      <c r="B219" s="24"/>
      <c r="C219" s="7"/>
      <c r="D219" s="7"/>
      <c r="E219" s="7"/>
      <c r="F219" s="7"/>
    </row>
    <row r="220" spans="1:6" ht="12.75">
      <c r="A220" s="7"/>
      <c r="B220" s="24"/>
      <c r="C220" s="7"/>
      <c r="D220" s="7"/>
      <c r="E220" s="7"/>
      <c r="F220" s="7"/>
    </row>
    <row r="221" spans="1:6" ht="12.75">
      <c r="A221" s="7"/>
      <c r="B221" s="24"/>
      <c r="C221" s="7"/>
      <c r="D221" s="7"/>
      <c r="E221" s="7"/>
      <c r="F221" s="7"/>
    </row>
    <row r="222" spans="1:6" ht="12.75">
      <c r="A222" s="7"/>
      <c r="B222" s="24"/>
      <c r="C222" s="7"/>
      <c r="D222" s="7"/>
      <c r="E222" s="7"/>
      <c r="F222" s="7"/>
    </row>
    <row r="223" spans="1:6" ht="12.75">
      <c r="A223" s="7"/>
      <c r="B223" s="24"/>
      <c r="C223" s="7"/>
      <c r="D223" s="7"/>
      <c r="E223" s="7"/>
      <c r="F223" s="7"/>
    </row>
    <row r="224" spans="1:6" ht="12.75">
      <c r="A224" s="7"/>
      <c r="B224" s="24"/>
      <c r="C224" s="7"/>
      <c r="D224" s="7"/>
      <c r="E224" s="7"/>
      <c r="F224" s="7"/>
    </row>
    <row r="225" spans="1:6" ht="12.75">
      <c r="A225" s="7"/>
      <c r="B225" s="24"/>
      <c r="C225" s="7"/>
      <c r="D225" s="7"/>
      <c r="E225" s="7"/>
      <c r="F225" s="7"/>
    </row>
    <row r="226" spans="1:6" ht="12.75">
      <c r="A226" s="7"/>
      <c r="B226" s="24"/>
      <c r="C226" s="7"/>
      <c r="D226" s="7"/>
      <c r="E226" s="7"/>
      <c r="F226" s="7"/>
    </row>
    <row r="227" spans="1:6" ht="12.75">
      <c r="A227" s="7"/>
      <c r="B227" s="24"/>
      <c r="C227" s="7"/>
      <c r="D227" s="7"/>
      <c r="E227" s="7"/>
      <c r="F227" s="7"/>
    </row>
    <row r="228" spans="1:6" ht="12.75">
      <c r="A228" s="7"/>
      <c r="B228" s="24"/>
      <c r="C228" s="7"/>
      <c r="D228" s="7"/>
      <c r="E228" s="7"/>
      <c r="F228" s="7"/>
    </row>
    <row r="229" spans="1:6" ht="12.75">
      <c r="A229" s="7"/>
      <c r="B229" s="24"/>
      <c r="C229" s="7"/>
      <c r="D229" s="7"/>
      <c r="E229" s="7"/>
      <c r="F229" s="7"/>
    </row>
    <row r="230" spans="1:6" ht="12.75">
      <c r="A230" s="7"/>
      <c r="B230" s="24"/>
      <c r="C230" s="7"/>
      <c r="D230" s="7"/>
      <c r="E230" s="7"/>
      <c r="F230" s="7"/>
    </row>
    <row r="231" spans="1:6" ht="12.75">
      <c r="A231" s="7"/>
      <c r="B231" s="24"/>
      <c r="C231" s="7"/>
      <c r="D231" s="7"/>
      <c r="E231" s="7"/>
      <c r="F231" s="7"/>
    </row>
    <row r="232" spans="1:6" ht="12.75">
      <c r="A232" s="7"/>
      <c r="B232" s="24"/>
      <c r="C232" s="7"/>
      <c r="D232" s="7"/>
      <c r="E232" s="7"/>
      <c r="F232" s="7"/>
    </row>
    <row r="233" spans="1:6" ht="12.75">
      <c r="A233" s="7"/>
      <c r="B233" s="24"/>
      <c r="C233" s="7"/>
      <c r="D233" s="7"/>
      <c r="E233" s="7"/>
      <c r="F233" s="7"/>
    </row>
    <row r="234" spans="1:6" ht="12.75">
      <c r="A234" s="7"/>
      <c r="B234" s="24"/>
      <c r="C234" s="7"/>
      <c r="D234" s="7"/>
      <c r="E234" s="7"/>
      <c r="F234" s="7"/>
    </row>
    <row r="235" spans="1:6" ht="12.75">
      <c r="A235" s="7"/>
      <c r="B235" s="24"/>
      <c r="C235" s="7"/>
      <c r="D235" s="7"/>
      <c r="E235" s="7"/>
      <c r="F235" s="7"/>
    </row>
    <row r="236" spans="1:6" ht="12.75">
      <c r="A236" s="7"/>
      <c r="B236" s="24"/>
      <c r="C236" s="7"/>
      <c r="D236" s="7"/>
      <c r="E236" s="7"/>
      <c r="F236" s="7"/>
    </row>
    <row r="237" spans="1:6" ht="12.75">
      <c r="A237" s="7"/>
      <c r="B237" s="24"/>
      <c r="C237" s="7"/>
      <c r="D237" s="7"/>
      <c r="E237" s="7"/>
      <c r="F237" s="7"/>
    </row>
    <row r="238" spans="1:6" ht="12.75">
      <c r="A238" s="7"/>
      <c r="B238" s="24"/>
      <c r="C238" s="7"/>
      <c r="D238" s="7"/>
      <c r="E238" s="7"/>
      <c r="F238" s="7"/>
    </row>
    <row r="239" spans="1:6" ht="12.75">
      <c r="A239" s="7"/>
      <c r="B239" s="24"/>
      <c r="C239" s="7"/>
      <c r="D239" s="7"/>
      <c r="E239" s="7"/>
      <c r="F239" s="7"/>
    </row>
    <row r="240" spans="1:6" ht="12.75">
      <c r="A240" s="7"/>
      <c r="B240" s="24"/>
      <c r="C240" s="7"/>
      <c r="D240" s="7"/>
      <c r="E240" s="7"/>
      <c r="F240" s="7"/>
    </row>
    <row r="241" spans="1:6" ht="12.75">
      <c r="A241" s="7"/>
      <c r="B241" s="24"/>
      <c r="C241" s="7"/>
      <c r="D241" s="7"/>
      <c r="E241" s="7"/>
      <c r="F241" s="7"/>
    </row>
    <row r="242" spans="1:6" ht="12.75">
      <c r="A242" s="7"/>
      <c r="B242" s="24"/>
      <c r="C242" s="7"/>
      <c r="D242" s="7"/>
      <c r="E242" s="7"/>
      <c r="F242" s="7"/>
    </row>
    <row r="243" spans="1:6" ht="12.75">
      <c r="A243" s="7"/>
      <c r="B243" s="24"/>
      <c r="C243" s="7"/>
      <c r="D243" s="7"/>
      <c r="E243" s="7"/>
      <c r="F243" s="7"/>
    </row>
    <row r="244" spans="1:6" ht="12.75">
      <c r="A244" s="7"/>
      <c r="B244" s="24"/>
      <c r="C244" s="7"/>
      <c r="D244" s="7"/>
      <c r="E244" s="7"/>
      <c r="F244" s="7"/>
    </row>
    <row r="245" spans="1:6" ht="12.75">
      <c r="A245" s="7"/>
      <c r="B245" s="24"/>
      <c r="C245" s="7"/>
      <c r="D245" s="7"/>
      <c r="E245" s="7"/>
      <c r="F245" s="7"/>
    </row>
    <row r="246" spans="1:6" ht="12.75">
      <c r="A246" s="7"/>
      <c r="B246" s="24"/>
      <c r="C246" s="7"/>
      <c r="D246" s="7"/>
      <c r="E246" s="7"/>
      <c r="F246" s="7"/>
    </row>
    <row r="247" spans="1:6" ht="12.75">
      <c r="A247" s="7"/>
      <c r="B247" s="24"/>
      <c r="C247" s="7"/>
      <c r="D247" s="7"/>
      <c r="E247" s="7"/>
      <c r="F247" s="7"/>
    </row>
    <row r="248" spans="1:6" ht="12.75">
      <c r="A248" s="7"/>
      <c r="B248" s="24"/>
      <c r="C248" s="7"/>
      <c r="D248" s="7"/>
      <c r="E248" s="7"/>
      <c r="F248" s="7"/>
    </row>
    <row r="249" spans="1:6" ht="12.75">
      <c r="A249" s="7"/>
      <c r="B249" s="24"/>
      <c r="C249" s="7"/>
      <c r="D249" s="7"/>
      <c r="E249" s="7"/>
      <c r="F249" s="7"/>
    </row>
    <row r="250" spans="1:6" ht="12.75">
      <c r="A250" s="7"/>
      <c r="B250" s="24"/>
      <c r="C250" s="7"/>
      <c r="D250" s="7"/>
      <c r="E250" s="7"/>
      <c r="F250" s="7"/>
    </row>
    <row r="251" spans="1:6" ht="12.75">
      <c r="A251" s="7"/>
      <c r="B251" s="24"/>
      <c r="C251" s="7"/>
      <c r="D251" s="7"/>
      <c r="E251" s="7"/>
      <c r="F251" s="7"/>
    </row>
    <row r="252" spans="1:6" ht="12.75">
      <c r="A252" s="7"/>
      <c r="B252" s="24"/>
      <c r="C252" s="7"/>
      <c r="D252" s="7"/>
      <c r="E252" s="7"/>
      <c r="F252" s="7"/>
    </row>
    <row r="253" spans="1:6" ht="12.75">
      <c r="A253" s="7"/>
      <c r="B253" s="24"/>
      <c r="C253" s="7"/>
      <c r="D253" s="7"/>
      <c r="E253" s="7"/>
      <c r="F253" s="7"/>
    </row>
    <row r="254" spans="1:6" ht="12.75">
      <c r="A254" s="7"/>
      <c r="B254" s="24"/>
      <c r="C254" s="7"/>
      <c r="D254" s="7"/>
      <c r="E254" s="7"/>
      <c r="F254" s="7"/>
    </row>
    <row r="255" spans="1:6" ht="12.75">
      <c r="A255" s="7"/>
      <c r="B255" s="24"/>
      <c r="C255" s="7"/>
      <c r="D255" s="7"/>
      <c r="E255" s="7"/>
      <c r="F255" s="7"/>
    </row>
    <row r="256" spans="1:6" ht="12.75">
      <c r="A256" s="7"/>
      <c r="B256" s="24"/>
      <c r="C256" s="7"/>
      <c r="D256" s="7"/>
      <c r="E256" s="7"/>
      <c r="F256" s="7"/>
    </row>
    <row r="257" spans="1:6" ht="12.75">
      <c r="A257" s="7"/>
      <c r="B257" s="24"/>
      <c r="C257" s="7"/>
      <c r="D257" s="7"/>
      <c r="E257" s="7"/>
      <c r="F257" s="7"/>
    </row>
    <row r="258" spans="1:6" ht="12.75">
      <c r="A258" s="7"/>
      <c r="B258" s="24"/>
      <c r="C258" s="7"/>
      <c r="D258" s="7"/>
      <c r="E258" s="7"/>
      <c r="F258" s="7"/>
    </row>
    <row r="259" spans="1:6" ht="12.75">
      <c r="A259" s="7"/>
      <c r="B259" s="24"/>
      <c r="C259" s="7"/>
      <c r="D259" s="7"/>
      <c r="E259" s="7"/>
      <c r="F259" s="7"/>
    </row>
    <row r="260" spans="1:6" ht="12.75">
      <c r="A260" s="7"/>
      <c r="B260" s="24"/>
      <c r="C260" s="7"/>
      <c r="D260" s="7"/>
      <c r="E260" s="7"/>
      <c r="F260" s="7"/>
    </row>
    <row r="261" spans="1:6" ht="12.75">
      <c r="A261" s="7"/>
      <c r="B261" s="24"/>
      <c r="C261" s="7"/>
      <c r="D261" s="7"/>
      <c r="E261" s="7"/>
      <c r="F261" s="7"/>
    </row>
    <row r="262" spans="1:6" ht="12.75">
      <c r="A262" s="7"/>
      <c r="B262" s="24"/>
      <c r="C262" s="7"/>
      <c r="D262" s="7"/>
      <c r="E262" s="7"/>
      <c r="F262" s="7"/>
    </row>
    <row r="263" spans="1:6" ht="12.75">
      <c r="A263" s="7"/>
      <c r="B263" s="24"/>
      <c r="C263" s="7"/>
      <c r="D263" s="7"/>
      <c r="E263" s="7"/>
      <c r="F263" s="7"/>
    </row>
    <row r="264" spans="1:6" ht="12.75">
      <c r="A264" s="7"/>
      <c r="B264" s="24"/>
      <c r="C264" s="7"/>
      <c r="D264" s="7"/>
      <c r="E264" s="7"/>
      <c r="F264" s="7"/>
    </row>
    <row r="265" spans="1:6" ht="12.75">
      <c r="A265" s="7"/>
      <c r="B265" s="24"/>
      <c r="C265" s="7"/>
      <c r="D265" s="7"/>
      <c r="E265" s="7"/>
      <c r="F265" s="7"/>
    </row>
    <row r="266" spans="1:6" ht="12.75">
      <c r="A266" s="7"/>
      <c r="B266" s="24"/>
      <c r="C266" s="7"/>
      <c r="D266" s="7"/>
      <c r="E266" s="7"/>
      <c r="F266" s="7"/>
    </row>
    <row r="267" spans="1:6" ht="12.75">
      <c r="A267" s="7"/>
      <c r="B267" s="24"/>
      <c r="C267" s="7"/>
      <c r="D267" s="7"/>
      <c r="E267" s="7"/>
      <c r="F267" s="7"/>
    </row>
    <row r="268" spans="1:6" ht="12.75">
      <c r="A268" s="7"/>
      <c r="B268" s="24"/>
      <c r="C268" s="7"/>
      <c r="D268" s="7"/>
      <c r="E268" s="7"/>
      <c r="F268" s="7"/>
    </row>
    <row r="269" spans="1:6" ht="12.75">
      <c r="A269" s="7"/>
      <c r="B269" s="24"/>
      <c r="C269" s="7"/>
      <c r="D269" s="7"/>
      <c r="E269" s="7"/>
      <c r="F269" s="7"/>
    </row>
    <row r="270" spans="1:6" ht="12.75">
      <c r="A270" s="7"/>
      <c r="B270" s="24"/>
      <c r="C270" s="7"/>
      <c r="D270" s="7"/>
      <c r="E270" s="7"/>
      <c r="F270" s="7"/>
    </row>
    <row r="271" spans="1:6" ht="12.75">
      <c r="A271" s="7"/>
      <c r="B271" s="24"/>
      <c r="C271" s="7"/>
      <c r="D271" s="7"/>
      <c r="E271" s="7"/>
      <c r="F271" s="7"/>
    </row>
    <row r="272" spans="1:6" ht="12.75">
      <c r="A272" s="7"/>
      <c r="B272" s="24"/>
      <c r="C272" s="7"/>
      <c r="D272" s="7"/>
      <c r="E272" s="7"/>
      <c r="F272" s="7"/>
    </row>
    <row r="273" spans="1:6" ht="12.75">
      <c r="A273" s="7"/>
      <c r="B273" s="24"/>
      <c r="C273" s="7"/>
      <c r="D273" s="7"/>
      <c r="E273" s="7"/>
      <c r="F273" s="7"/>
    </row>
    <row r="274" spans="1:6" ht="12.75">
      <c r="A274" s="7"/>
      <c r="B274" s="24"/>
      <c r="C274" s="7"/>
      <c r="D274" s="7"/>
      <c r="E274" s="7"/>
      <c r="F274" s="7"/>
    </row>
    <row r="275" spans="1:6" ht="12.75">
      <c r="A275" s="7"/>
      <c r="B275" s="24"/>
      <c r="C275" s="7"/>
      <c r="D275" s="7"/>
      <c r="E275" s="7"/>
      <c r="F275" s="7"/>
    </row>
    <row r="276" spans="1:6" ht="12.75">
      <c r="A276" s="7"/>
      <c r="B276" s="24"/>
      <c r="C276" s="7"/>
      <c r="D276" s="7"/>
      <c r="E276" s="7"/>
      <c r="F276" s="7"/>
    </row>
    <row r="277" spans="1:6" ht="12.75">
      <c r="A277" s="7"/>
      <c r="B277" s="24"/>
      <c r="C277" s="7"/>
      <c r="D277" s="7"/>
      <c r="E277" s="7"/>
      <c r="F277" s="7"/>
    </row>
    <row r="278" spans="1:6" ht="12.75">
      <c r="A278" s="7"/>
      <c r="B278" s="24"/>
      <c r="C278" s="7"/>
      <c r="D278" s="7"/>
      <c r="E278" s="7"/>
      <c r="F278" s="7"/>
    </row>
    <row r="279" spans="1:6" ht="12.75">
      <c r="A279" s="7"/>
      <c r="B279" s="24"/>
      <c r="C279" s="7"/>
      <c r="D279" s="7"/>
      <c r="E279" s="7"/>
      <c r="F279" s="7"/>
    </row>
    <row r="280" spans="1:6" ht="12.75">
      <c r="A280" s="7"/>
      <c r="B280" s="24"/>
      <c r="C280" s="7"/>
      <c r="D280" s="7"/>
      <c r="E280" s="7"/>
      <c r="F280" s="7"/>
    </row>
    <row r="281" spans="1:6" ht="12.75">
      <c r="A281" s="7"/>
      <c r="B281" s="24"/>
      <c r="C281" s="7"/>
      <c r="D281" s="7"/>
      <c r="E281" s="7"/>
      <c r="F281" s="7"/>
    </row>
    <row r="282" spans="1:6" ht="12.75">
      <c r="A282" s="7"/>
      <c r="B282" s="24"/>
      <c r="C282" s="7"/>
      <c r="D282" s="7"/>
      <c r="E282" s="7"/>
      <c r="F282" s="7"/>
    </row>
    <row r="283" spans="1:6" ht="12.75">
      <c r="A283" s="7"/>
      <c r="B283" s="24"/>
      <c r="C283" s="7"/>
      <c r="D283" s="7"/>
      <c r="E283" s="7"/>
      <c r="F283" s="7"/>
    </row>
    <row r="284" spans="1:6" ht="12.75">
      <c r="A284" s="7"/>
      <c r="B284" s="24"/>
      <c r="C284" s="7"/>
      <c r="D284" s="7"/>
      <c r="E284" s="7"/>
      <c r="F284" s="7"/>
    </row>
    <row r="285" spans="1:6" ht="12.75">
      <c r="A285" s="7"/>
      <c r="B285" s="24"/>
      <c r="C285" s="7"/>
      <c r="D285" s="7"/>
      <c r="E285" s="7"/>
      <c r="F285" s="7"/>
    </row>
    <row r="286" spans="1:6" ht="12.75">
      <c r="A286" s="7"/>
      <c r="B286" s="24"/>
      <c r="C286" s="7"/>
      <c r="D286" s="7"/>
      <c r="E286" s="7"/>
      <c r="F286" s="7"/>
    </row>
    <row r="287" spans="1:6" ht="12.75">
      <c r="A287" s="7"/>
      <c r="B287" s="24"/>
      <c r="C287" s="7"/>
      <c r="D287" s="7"/>
      <c r="E287" s="7"/>
      <c r="F287" s="7"/>
    </row>
    <row r="288" spans="1:6" ht="12.75">
      <c r="A288" s="7"/>
      <c r="B288" s="24"/>
      <c r="C288" s="7"/>
      <c r="D288" s="7"/>
      <c r="E288" s="7"/>
      <c r="F288" s="7"/>
    </row>
    <row r="289" spans="1:6" ht="12.75">
      <c r="A289" s="7"/>
      <c r="B289" s="24"/>
      <c r="C289" s="7"/>
      <c r="D289" s="7"/>
      <c r="E289" s="7"/>
      <c r="F289" s="7"/>
    </row>
    <row r="290" spans="1:6" ht="12.75">
      <c r="A290" s="7"/>
      <c r="B290" s="24"/>
      <c r="C290" s="7"/>
      <c r="D290" s="7"/>
      <c r="E290" s="7"/>
      <c r="F290" s="7"/>
    </row>
    <row r="291" spans="1:6" ht="12.75">
      <c r="A291" s="7"/>
      <c r="B291" s="24"/>
      <c r="C291" s="7"/>
      <c r="D291" s="7"/>
      <c r="E291" s="7"/>
      <c r="F291" s="7"/>
    </row>
    <row r="292" spans="1:6" ht="12.75">
      <c r="A292" s="7"/>
      <c r="B292" s="24"/>
      <c r="C292" s="7"/>
      <c r="D292" s="7"/>
      <c r="E292" s="7"/>
      <c r="F292" s="7"/>
    </row>
    <row r="293" spans="1:6" ht="12.75">
      <c r="A293" s="7"/>
      <c r="B293" s="24"/>
      <c r="C293" s="7"/>
      <c r="D293" s="7"/>
      <c r="E293" s="7"/>
      <c r="F293" s="7"/>
    </row>
    <row r="294" spans="1:6" ht="12.75">
      <c r="A294" s="7"/>
      <c r="B294" s="24"/>
      <c r="C294" s="7"/>
      <c r="D294" s="7"/>
      <c r="E294" s="7"/>
      <c r="F294" s="7"/>
    </row>
    <row r="295" spans="1:6" ht="12.75">
      <c r="A295" s="7"/>
      <c r="B295" s="24"/>
      <c r="C295" s="7"/>
      <c r="D295" s="7"/>
      <c r="E295" s="7"/>
      <c r="F295" s="7"/>
    </row>
    <row r="296" spans="1:6" ht="12.75">
      <c r="A296" s="7"/>
      <c r="B296" s="24"/>
      <c r="C296" s="7"/>
      <c r="D296" s="7"/>
      <c r="E296" s="7"/>
      <c r="F296" s="7"/>
    </row>
    <row r="297" spans="1:6" ht="12.75">
      <c r="A297" s="7"/>
      <c r="B297" s="24"/>
      <c r="C297" s="7"/>
      <c r="D297" s="7"/>
      <c r="E297" s="7"/>
      <c r="F297" s="7"/>
    </row>
    <row r="298" spans="1:6" ht="12.75">
      <c r="A298" s="7"/>
      <c r="B298" s="24"/>
      <c r="C298" s="7"/>
      <c r="D298" s="7"/>
      <c r="E298" s="7"/>
      <c r="F298" s="7"/>
    </row>
    <row r="299" spans="1:6" ht="12.75">
      <c r="A299" s="7"/>
      <c r="B299" s="24"/>
      <c r="C299" s="7"/>
      <c r="D299" s="7"/>
      <c r="E299" s="7"/>
      <c r="F299" s="7"/>
    </row>
    <row r="300" spans="1:6" ht="12.75">
      <c r="A300" s="7"/>
      <c r="B300" s="24"/>
      <c r="C300" s="7"/>
      <c r="D300" s="7"/>
      <c r="E300" s="7"/>
      <c r="F300" s="7"/>
    </row>
    <row r="301" spans="1:6" ht="12.75">
      <c r="A301" s="7"/>
      <c r="B301" s="24"/>
      <c r="C301" s="7"/>
      <c r="D301" s="7"/>
      <c r="E301" s="7"/>
      <c r="F301" s="7"/>
    </row>
    <row r="302" spans="1:6" ht="12.75">
      <c r="A302" s="7"/>
      <c r="B302" s="24"/>
      <c r="C302" s="7"/>
      <c r="D302" s="7"/>
      <c r="E302" s="7"/>
      <c r="F302" s="7"/>
    </row>
    <row r="303" spans="1:6" ht="12.75">
      <c r="A303" s="7"/>
      <c r="B303" s="24"/>
      <c r="C303" s="7"/>
      <c r="D303" s="7"/>
      <c r="E303" s="7"/>
      <c r="F303" s="7"/>
    </row>
    <row r="304" spans="1:6" ht="12.75">
      <c r="A304" s="7"/>
      <c r="B304" s="24"/>
      <c r="C304" s="7"/>
      <c r="D304" s="7"/>
      <c r="E304" s="7"/>
      <c r="F304" s="7"/>
    </row>
    <row r="305" spans="1:6" ht="12.75">
      <c r="A305" s="7"/>
      <c r="B305" s="24"/>
      <c r="C305" s="7"/>
      <c r="D305" s="7"/>
      <c r="E305" s="7"/>
      <c r="F305" s="7"/>
    </row>
    <row r="306" spans="1:6" ht="12.75">
      <c r="A306" s="7"/>
      <c r="B306" s="24"/>
      <c r="C306" s="7"/>
      <c r="D306" s="7"/>
      <c r="E306" s="7"/>
      <c r="F306" s="7"/>
    </row>
    <row r="307" spans="1:6" ht="12.75">
      <c r="A307" s="7"/>
      <c r="B307" s="24"/>
      <c r="C307" s="7"/>
      <c r="D307" s="7"/>
      <c r="E307" s="7"/>
      <c r="F307" s="7"/>
    </row>
    <row r="308" spans="1:6" ht="12.75">
      <c r="A308" s="7"/>
      <c r="B308" s="24"/>
      <c r="C308" s="7"/>
      <c r="D308" s="7"/>
      <c r="E308" s="7"/>
      <c r="F308" s="7"/>
    </row>
    <row r="309" spans="1:6" ht="12.75">
      <c r="A309" s="7"/>
      <c r="B309" s="24"/>
      <c r="C309" s="7"/>
      <c r="D309" s="7"/>
      <c r="E309" s="7"/>
      <c r="F309" s="7"/>
    </row>
    <row r="310" spans="1:6" ht="12.75">
      <c r="A310" s="7"/>
      <c r="B310" s="24"/>
      <c r="C310" s="7"/>
      <c r="D310" s="7"/>
      <c r="E310" s="7"/>
      <c r="F310" s="7"/>
    </row>
    <row r="311" spans="1:6" ht="12.75">
      <c r="A311" s="7"/>
      <c r="B311" s="24"/>
      <c r="C311" s="7"/>
      <c r="D311" s="7"/>
      <c r="E311" s="7"/>
      <c r="F311" s="7"/>
    </row>
    <row r="312" spans="1:6" ht="12.75">
      <c r="A312" s="7"/>
      <c r="B312" s="24"/>
      <c r="C312" s="7"/>
      <c r="D312" s="7"/>
      <c r="E312" s="7"/>
      <c r="F312" s="7"/>
    </row>
    <row r="313" spans="1:6" ht="12.75">
      <c r="A313" s="7"/>
      <c r="B313" s="24"/>
      <c r="C313" s="7"/>
      <c r="D313" s="7"/>
      <c r="E313" s="7"/>
      <c r="F313" s="7"/>
    </row>
    <row r="314" spans="1:6" ht="12.75">
      <c r="A314" s="7"/>
      <c r="B314" s="24"/>
      <c r="C314" s="7"/>
      <c r="D314" s="7"/>
      <c r="E314" s="7"/>
      <c r="F314" s="7"/>
    </row>
    <row r="315" spans="1:6" ht="12.75">
      <c r="A315" s="7"/>
      <c r="B315" s="24"/>
      <c r="C315" s="7"/>
      <c r="D315" s="7"/>
      <c r="E315" s="7"/>
      <c r="F315" s="7"/>
    </row>
    <row r="316" spans="1:6" ht="12.75">
      <c r="A316" s="7"/>
      <c r="B316" s="24"/>
      <c r="C316" s="7"/>
      <c r="D316" s="7"/>
      <c r="E316" s="7"/>
      <c r="F316" s="7"/>
    </row>
    <row r="317" spans="1:6" ht="12.75">
      <c r="A317" s="7"/>
      <c r="B317" s="24"/>
      <c r="C317" s="7"/>
      <c r="D317" s="7"/>
      <c r="E317" s="7"/>
      <c r="F317" s="7"/>
    </row>
    <row r="318" spans="1:6" ht="12.75">
      <c r="A318" s="7"/>
      <c r="B318" s="24"/>
      <c r="C318" s="7"/>
      <c r="D318" s="7"/>
      <c r="E318" s="7"/>
      <c r="F318" s="7"/>
    </row>
    <row r="319" spans="1:6" ht="12.75">
      <c r="A319" s="7"/>
      <c r="B319" s="24"/>
      <c r="C319" s="7"/>
      <c r="D319" s="7"/>
      <c r="E319" s="7"/>
      <c r="F319" s="7"/>
    </row>
    <row r="320" spans="1:6" ht="12.75">
      <c r="A320" s="7"/>
      <c r="B320" s="24"/>
      <c r="C320" s="7"/>
      <c r="D320" s="7"/>
      <c r="E320" s="7"/>
      <c r="F320" s="7"/>
    </row>
    <row r="321" spans="1:6" ht="12.75">
      <c r="A321" s="7"/>
      <c r="B321" s="24"/>
      <c r="C321" s="7"/>
      <c r="D321" s="7"/>
      <c r="E321" s="7"/>
      <c r="F321" s="7"/>
    </row>
    <row r="322" spans="1:6" ht="12.75">
      <c r="A322" s="7"/>
      <c r="B322" s="24"/>
      <c r="C322" s="7"/>
      <c r="D322" s="7"/>
      <c r="E322" s="7"/>
      <c r="F322" s="7"/>
    </row>
    <row r="323" spans="1:6" ht="12.75">
      <c r="A323" s="7"/>
      <c r="B323" s="24"/>
      <c r="C323" s="7"/>
      <c r="D323" s="7"/>
      <c r="E323" s="7"/>
      <c r="F323" s="7"/>
    </row>
    <row r="324" spans="1:6" ht="12.75">
      <c r="A324" s="7"/>
      <c r="B324" s="24"/>
      <c r="C324" s="7"/>
      <c r="D324" s="7"/>
      <c r="E324" s="7"/>
      <c r="F324" s="7"/>
    </row>
    <row r="325" spans="1:6" ht="12.75">
      <c r="A325" s="7"/>
      <c r="B325" s="24"/>
      <c r="C325" s="7"/>
      <c r="D325" s="7"/>
      <c r="E325" s="7"/>
      <c r="F325" s="7"/>
    </row>
    <row r="326" spans="1:6" ht="12.75">
      <c r="A326" s="7"/>
      <c r="B326" s="24"/>
      <c r="C326" s="7"/>
      <c r="D326" s="7"/>
      <c r="E326" s="7"/>
      <c r="F326" s="7"/>
    </row>
    <row r="327" spans="1:6" ht="12.75">
      <c r="A327" s="7"/>
      <c r="B327" s="24"/>
      <c r="C327" s="7"/>
      <c r="D327" s="7"/>
      <c r="E327" s="7"/>
      <c r="F327" s="7"/>
    </row>
    <row r="328" spans="1:6" ht="12.75">
      <c r="A328" s="7"/>
      <c r="B328" s="24"/>
      <c r="C328" s="7"/>
      <c r="D328" s="7"/>
      <c r="E328" s="7"/>
      <c r="F328" s="7"/>
    </row>
    <row r="329" spans="1:6" ht="12.75">
      <c r="A329" s="7"/>
      <c r="B329" s="24"/>
      <c r="C329" s="7"/>
      <c r="D329" s="7"/>
      <c r="E329" s="7"/>
      <c r="F329" s="7"/>
    </row>
    <row r="330" spans="1:6" ht="12.75">
      <c r="A330" s="7"/>
      <c r="B330" s="24"/>
      <c r="C330" s="7"/>
      <c r="D330" s="7"/>
      <c r="E330" s="7"/>
      <c r="F330" s="7"/>
    </row>
    <row r="331" spans="1:6" ht="12.75">
      <c r="A331" s="7"/>
      <c r="B331" s="24"/>
      <c r="C331" s="7"/>
      <c r="D331" s="7"/>
      <c r="E331" s="7"/>
      <c r="F331" s="7"/>
    </row>
    <row r="332" ht="12.75">
      <c r="B332" s="25"/>
    </row>
    <row r="333" ht="12.75">
      <c r="B333" s="25"/>
    </row>
    <row r="334" ht="12.75">
      <c r="B334" s="25"/>
    </row>
    <row r="335" ht="12.75">
      <c r="B335" s="25"/>
    </row>
    <row r="336" ht="12.75">
      <c r="B336" s="25"/>
    </row>
    <row r="337" ht="12.75">
      <c r="B337" s="25"/>
    </row>
    <row r="338" ht="12.75">
      <c r="B338" s="25"/>
    </row>
    <row r="339" ht="12.75">
      <c r="B339" s="25"/>
    </row>
    <row r="340" ht="12.75">
      <c r="B340" s="25"/>
    </row>
    <row r="341" ht="12.75">
      <c r="B341" s="25"/>
    </row>
    <row r="342" ht="12.75">
      <c r="B342" s="25"/>
    </row>
    <row r="343" ht="12.75">
      <c r="B343" s="25"/>
    </row>
    <row r="344" ht="12.75">
      <c r="B344" s="25"/>
    </row>
    <row r="345" ht="12.75">
      <c r="B345" s="25"/>
    </row>
    <row r="346" ht="12.75">
      <c r="B346" s="25"/>
    </row>
    <row r="347" ht="12.75">
      <c r="B347" s="25"/>
    </row>
    <row r="348" ht="12.75">
      <c r="B348" s="25"/>
    </row>
    <row r="349" ht="12.75">
      <c r="B349" s="25"/>
    </row>
  </sheetData>
  <sheetProtection/>
  <mergeCells count="44">
    <mergeCell ref="C57:C58"/>
    <mergeCell ref="D57:D58"/>
    <mergeCell ref="B51:C51"/>
    <mergeCell ref="B53:C53"/>
    <mergeCell ref="B52:C52"/>
    <mergeCell ref="B55:C55"/>
    <mergeCell ref="A1:N1"/>
    <mergeCell ref="A2:N2"/>
    <mergeCell ref="A3:N3"/>
    <mergeCell ref="H16:H17"/>
    <mergeCell ref="I16:I17"/>
    <mergeCell ref="A15:D15"/>
    <mergeCell ref="F15:I15"/>
    <mergeCell ref="K15:N15"/>
    <mergeCell ref="C19:C20"/>
    <mergeCell ref="D19:D20"/>
    <mergeCell ref="M16:M17"/>
    <mergeCell ref="N16:N17"/>
    <mergeCell ref="C16:C17"/>
    <mergeCell ref="D16:D17"/>
    <mergeCell ref="H19:H20"/>
    <mergeCell ref="I19:I20"/>
    <mergeCell ref="M19:M20"/>
    <mergeCell ref="N19:N20"/>
    <mergeCell ref="H22:H23"/>
    <mergeCell ref="I22:I23"/>
    <mergeCell ref="M22:M23"/>
    <mergeCell ref="N22:N23"/>
    <mergeCell ref="C22:C23"/>
    <mergeCell ref="D22:D23"/>
    <mergeCell ref="C25:C26"/>
    <mergeCell ref="D25:D26"/>
    <mergeCell ref="B50:C50"/>
    <mergeCell ref="B48:C48"/>
    <mergeCell ref="B49:C49"/>
    <mergeCell ref="E49:F49"/>
    <mergeCell ref="E48:F48"/>
    <mergeCell ref="E50:F50"/>
    <mergeCell ref="U27:V27"/>
    <mergeCell ref="E55:F55"/>
    <mergeCell ref="E53:F53"/>
    <mergeCell ref="E52:F52"/>
    <mergeCell ref="O28:T28"/>
    <mergeCell ref="E51:F51"/>
  </mergeCells>
  <printOptions horizontalCentered="1" verticalCentered="1"/>
  <pageMargins left="0.3937007874015748" right="0.3937007874015748" top="0.2362204724409449" bottom="0.3937007874015748" header="0" footer="0"/>
  <pageSetup horizontalDpi="300" verticalDpi="3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30" sqref="A30:F30"/>
    </sheetView>
  </sheetViews>
  <sheetFormatPr defaultColWidth="11.421875" defaultRowHeight="12.75"/>
  <cols>
    <col min="1" max="1" width="25.00390625" style="100" customWidth="1"/>
    <col min="2" max="6" width="10.7109375" style="100" customWidth="1"/>
    <col min="7" max="7" width="11.57421875" style="100" customWidth="1"/>
    <col min="8" max="8" width="12.8515625" style="100" customWidth="1"/>
    <col min="9" max="9" width="11.8515625" style="100" customWidth="1"/>
    <col min="10" max="10" width="18.8515625" style="100" bestFit="1" customWidth="1"/>
    <col min="11" max="11" width="15.421875" style="100" customWidth="1"/>
    <col min="12" max="16384" width="11.421875" style="100" customWidth="1"/>
  </cols>
  <sheetData>
    <row r="1" spans="1:9" ht="12.75">
      <c r="A1" s="10"/>
      <c r="B1" s="11"/>
      <c r="C1" s="11"/>
      <c r="D1" s="11"/>
      <c r="E1" s="11"/>
      <c r="F1" s="11"/>
      <c r="G1" s="11"/>
      <c r="H1" s="11"/>
      <c r="I1" s="12"/>
    </row>
    <row r="2" spans="1:9" s="101" customFormat="1" ht="12.75">
      <c r="A2" s="275" t="str">
        <f>'No. 1'!A1:N1</f>
        <v>RABINAL</v>
      </c>
      <c r="B2" s="276"/>
      <c r="C2" s="276"/>
      <c r="D2" s="276"/>
      <c r="E2" s="276"/>
      <c r="F2" s="276"/>
      <c r="G2" s="276"/>
      <c r="H2" s="276"/>
      <c r="I2" s="277"/>
    </row>
    <row r="3" spans="1:9" s="101" customFormat="1" ht="14.25">
      <c r="A3" s="102"/>
      <c r="B3" s="103"/>
      <c r="C3" s="103"/>
      <c r="D3" s="103"/>
      <c r="E3" s="103"/>
      <c r="F3" s="103"/>
      <c r="G3" s="103"/>
      <c r="H3" s="103"/>
      <c r="I3" s="104"/>
    </row>
    <row r="4" spans="1:9" ht="15.75">
      <c r="A4" s="218" t="s">
        <v>118</v>
      </c>
      <c r="B4" s="14"/>
      <c r="C4" s="14"/>
      <c r="D4" s="14"/>
      <c r="E4" s="14"/>
      <c r="F4" s="14"/>
      <c r="G4" s="14"/>
      <c r="H4" s="14"/>
      <c r="I4" s="21"/>
    </row>
    <row r="5" spans="1:9" ht="13.5" thickBot="1">
      <c r="A5" s="2"/>
      <c r="B5" s="3"/>
      <c r="C5" s="3"/>
      <c r="D5" s="3"/>
      <c r="E5" s="3"/>
      <c r="F5" s="3"/>
      <c r="G5" s="3"/>
      <c r="H5" s="3"/>
      <c r="I5" s="4"/>
    </row>
    <row r="6" spans="1:9" ht="12" customHeight="1" thickBot="1">
      <c r="A6" s="278" t="s">
        <v>4</v>
      </c>
      <c r="B6" s="278" t="s">
        <v>17</v>
      </c>
      <c r="C6" s="232" t="s">
        <v>19</v>
      </c>
      <c r="D6" s="233"/>
      <c r="E6" s="234"/>
      <c r="F6" s="278" t="s">
        <v>18</v>
      </c>
      <c r="G6" s="235" t="s">
        <v>2</v>
      </c>
      <c r="H6" s="236"/>
      <c r="I6" s="237"/>
    </row>
    <row r="7" spans="1:9" ht="12" customHeight="1" thickBot="1">
      <c r="A7" s="279"/>
      <c r="B7" s="231"/>
      <c r="C7" s="29" t="s">
        <v>89</v>
      </c>
      <c r="D7" s="29" t="s">
        <v>85</v>
      </c>
      <c r="E7" s="29" t="s">
        <v>86</v>
      </c>
      <c r="F7" s="279"/>
      <c r="G7" s="29" t="s">
        <v>89</v>
      </c>
      <c r="H7" s="29" t="s">
        <v>85</v>
      </c>
      <c r="I7" s="29" t="s">
        <v>86</v>
      </c>
    </row>
    <row r="8" spans="1:9" ht="12.75" customHeight="1">
      <c r="A8" s="46" t="s">
        <v>113</v>
      </c>
      <c r="B8" s="23"/>
      <c r="C8" s="23"/>
      <c r="D8" s="23"/>
      <c r="E8" s="23"/>
      <c r="F8" s="23"/>
      <c r="G8" s="23"/>
      <c r="H8" s="23"/>
      <c r="I8" s="19"/>
    </row>
    <row r="9" spans="1:9" ht="12.75" customHeight="1">
      <c r="A9" s="191" t="s">
        <v>170</v>
      </c>
      <c r="B9" s="80" t="s">
        <v>171</v>
      </c>
      <c r="C9" s="80">
        <f>0.15*12</f>
        <v>1.7999999999999998</v>
      </c>
      <c r="D9" s="80">
        <f>0.3*18</f>
        <v>5.3999999999999995</v>
      </c>
      <c r="E9" s="80">
        <f>0.45*24</f>
        <v>10.8</v>
      </c>
      <c r="F9" s="20">
        <v>0.7</v>
      </c>
      <c r="G9" s="118">
        <f aca="true" t="shared" si="0" ref="G9:G14">+(F9*C9)</f>
        <v>1.2599999999999998</v>
      </c>
      <c r="H9" s="118">
        <f aca="true" t="shared" si="1" ref="H9:H14">SUM(F9*D9)</f>
        <v>3.7799999999999994</v>
      </c>
      <c r="I9" s="118">
        <f aca="true" t="shared" si="2" ref="I9:I14">SUM(F9*E9)</f>
        <v>7.56</v>
      </c>
    </row>
    <row r="10" spans="1:11" ht="12.75" customHeight="1">
      <c r="A10" s="28" t="s">
        <v>75</v>
      </c>
      <c r="B10" s="80" t="s">
        <v>49</v>
      </c>
      <c r="C10" s="80">
        <f>0.175*12</f>
        <v>2.0999999999999996</v>
      </c>
      <c r="D10" s="80">
        <f>0.25*18</f>
        <v>4.5</v>
      </c>
      <c r="E10" s="80">
        <f>0.375*24</f>
        <v>9</v>
      </c>
      <c r="F10" s="20">
        <v>1.64</v>
      </c>
      <c r="G10" s="118">
        <f t="shared" si="0"/>
        <v>3.443999999999999</v>
      </c>
      <c r="H10" s="118">
        <f t="shared" si="1"/>
        <v>7.38</v>
      </c>
      <c r="I10" s="118">
        <f t="shared" si="2"/>
        <v>14.76</v>
      </c>
      <c r="K10" s="203"/>
    </row>
    <row r="11" spans="1:12" ht="12.75" customHeight="1">
      <c r="A11" s="28" t="s">
        <v>76</v>
      </c>
      <c r="B11" s="80" t="s">
        <v>77</v>
      </c>
      <c r="C11" s="196">
        <f>0.022*12</f>
        <v>0.264</v>
      </c>
      <c r="D11" s="196">
        <f>0.023*18</f>
        <v>0.414</v>
      </c>
      <c r="E11" s="196">
        <f>0.024*24</f>
        <v>0.5760000000000001</v>
      </c>
      <c r="F11" s="20">
        <v>16</v>
      </c>
      <c r="G11" s="118">
        <f t="shared" si="0"/>
        <v>4.224</v>
      </c>
      <c r="H11" s="118">
        <f t="shared" si="1"/>
        <v>6.624</v>
      </c>
      <c r="I11" s="118">
        <f t="shared" si="2"/>
        <v>9.216000000000001</v>
      </c>
      <c r="L11" s="107"/>
    </row>
    <row r="12" spans="1:9" ht="12.75" customHeight="1">
      <c r="A12" s="18" t="s">
        <v>78</v>
      </c>
      <c r="B12" s="80" t="s">
        <v>79</v>
      </c>
      <c r="C12" s="80">
        <f>1.25*12</f>
        <v>15</v>
      </c>
      <c r="D12" s="80">
        <f>2*18</f>
        <v>36</v>
      </c>
      <c r="E12" s="80">
        <f>2.5*24</f>
        <v>60</v>
      </c>
      <c r="F12" s="20">
        <v>0.04</v>
      </c>
      <c r="G12" s="118">
        <f t="shared" si="0"/>
        <v>0.6</v>
      </c>
      <c r="H12" s="118">
        <f t="shared" si="1"/>
        <v>1.44</v>
      </c>
      <c r="I12" s="118">
        <f t="shared" si="2"/>
        <v>2.4</v>
      </c>
    </row>
    <row r="13" spans="1:11" ht="12.75" customHeight="1">
      <c r="A13" s="18" t="s">
        <v>112</v>
      </c>
      <c r="B13" s="80" t="s">
        <v>49</v>
      </c>
      <c r="C13" s="80">
        <f>0.5*12</f>
        <v>6</v>
      </c>
      <c r="D13" s="80">
        <f>0.75*18</f>
        <v>13.5</v>
      </c>
      <c r="E13" s="80">
        <f>1*24</f>
        <v>24</v>
      </c>
      <c r="F13" s="20">
        <v>4.54</v>
      </c>
      <c r="G13" s="118">
        <f t="shared" si="0"/>
        <v>27.240000000000002</v>
      </c>
      <c r="H13" s="118">
        <f t="shared" si="1"/>
        <v>61.29</v>
      </c>
      <c r="I13" s="118">
        <f t="shared" si="2"/>
        <v>108.96000000000001</v>
      </c>
      <c r="K13" s="195"/>
    </row>
    <row r="14" spans="1:10" ht="12.75" customHeight="1">
      <c r="A14" s="18" t="s">
        <v>80</v>
      </c>
      <c r="B14" s="80" t="s">
        <v>49</v>
      </c>
      <c r="C14" s="80">
        <f>0.225*12</f>
        <v>2.7</v>
      </c>
      <c r="D14" s="80">
        <f>0.275*18</f>
        <v>4.95</v>
      </c>
      <c r="E14" s="80">
        <f>0.45*24</f>
        <v>10.8</v>
      </c>
      <c r="F14" s="20">
        <v>7.12</v>
      </c>
      <c r="G14" s="118">
        <f t="shared" si="0"/>
        <v>19.224</v>
      </c>
      <c r="H14" s="118">
        <f t="shared" si="1"/>
        <v>35.244</v>
      </c>
      <c r="I14" s="118">
        <f t="shared" si="2"/>
        <v>76.896</v>
      </c>
      <c r="J14" s="126"/>
    </row>
    <row r="15" spans="1:11" ht="12.75" customHeight="1">
      <c r="A15" s="18" t="s">
        <v>81</v>
      </c>
      <c r="B15" s="80" t="s">
        <v>21</v>
      </c>
      <c r="C15" s="80">
        <v>12</v>
      </c>
      <c r="D15" s="80">
        <v>18</v>
      </c>
      <c r="E15" s="80">
        <v>24</v>
      </c>
      <c r="F15" s="20"/>
      <c r="G15" s="118">
        <v>5.388</v>
      </c>
      <c r="H15" s="118">
        <v>13.32</v>
      </c>
      <c r="I15" s="118">
        <v>26.76</v>
      </c>
      <c r="J15" s="192"/>
      <c r="K15" s="193"/>
    </row>
    <row r="16" spans="1:11" ht="12.75" customHeight="1" thickBot="1">
      <c r="A16" s="18" t="s">
        <v>82</v>
      </c>
      <c r="B16" s="80" t="s">
        <v>21</v>
      </c>
      <c r="C16" s="80">
        <v>1</v>
      </c>
      <c r="D16" s="80">
        <v>1</v>
      </c>
      <c r="E16" s="80">
        <v>1</v>
      </c>
      <c r="F16" s="20"/>
      <c r="G16" s="125">
        <v>3.08</v>
      </c>
      <c r="H16" s="125">
        <v>2.3</v>
      </c>
      <c r="I16" s="125">
        <v>1.486</v>
      </c>
      <c r="J16" s="207"/>
      <c r="K16" s="194"/>
    </row>
    <row r="17" spans="1:10" ht="12.75" customHeight="1">
      <c r="A17" s="18"/>
      <c r="B17" s="80"/>
      <c r="C17" s="80"/>
      <c r="D17" s="80"/>
      <c r="E17" s="80"/>
      <c r="F17" s="20"/>
      <c r="G17" s="108"/>
      <c r="H17" s="108"/>
      <c r="I17" s="108"/>
      <c r="J17" s="107"/>
    </row>
    <row r="18" spans="1:9" ht="12.75" customHeight="1">
      <c r="A18" s="72" t="s">
        <v>6</v>
      </c>
      <c r="B18" s="6"/>
      <c r="C18" s="6"/>
      <c r="D18" s="6"/>
      <c r="E18" s="6"/>
      <c r="F18" s="6"/>
      <c r="G18" s="124">
        <f>SUM(G9:G17)</f>
        <v>64.46000000000001</v>
      </c>
      <c r="H18" s="124">
        <f>SUM(H9:H17)</f>
        <v>131.37800000000001</v>
      </c>
      <c r="I18" s="124">
        <f>SUM(I9:I17)</f>
        <v>248.038</v>
      </c>
    </row>
    <row r="19" spans="1:9" ht="12.75" customHeight="1">
      <c r="A19" s="72"/>
      <c r="B19" s="5"/>
      <c r="C19" s="5"/>
      <c r="D19" s="5"/>
      <c r="E19" s="5"/>
      <c r="F19" s="5"/>
      <c r="G19" s="109"/>
      <c r="H19" s="109"/>
      <c r="I19" s="109"/>
    </row>
    <row r="20" spans="1:11" ht="12.75" customHeight="1">
      <c r="A20" s="30" t="s">
        <v>114</v>
      </c>
      <c r="B20" s="110" t="s">
        <v>12</v>
      </c>
      <c r="C20" s="111">
        <f>'No. 1'!B19/'No. 1'!B20</f>
        <v>0.384</v>
      </c>
      <c r="D20" s="111">
        <f>'No. 1'!G19/'No. 1'!G20</f>
        <v>0.72</v>
      </c>
      <c r="E20" s="111">
        <f>'No. 1'!L19/'No. 1'!L20</f>
        <v>1.2</v>
      </c>
      <c r="F20" s="20">
        <f>'No. 1'!B25/'No. 1'!B26</f>
        <v>14.6</v>
      </c>
      <c r="G20" s="117">
        <f>+(F20*C20)</f>
        <v>5.6064</v>
      </c>
      <c r="H20" s="119">
        <f>SUM(F20*D20)</f>
        <v>10.511999999999999</v>
      </c>
      <c r="I20" s="120">
        <f>SUM(F20*E20)</f>
        <v>17.52</v>
      </c>
      <c r="J20" s="197"/>
      <c r="K20" s="203"/>
    </row>
    <row r="21" spans="1:11" ht="12.75" customHeight="1">
      <c r="A21" s="30"/>
      <c r="B21" s="110"/>
      <c r="C21" s="111"/>
      <c r="D21" s="111"/>
      <c r="E21" s="111"/>
      <c r="F21" s="20"/>
      <c r="G21" s="121"/>
      <c r="H21" s="122"/>
      <c r="I21" s="121"/>
      <c r="J21" s="203"/>
      <c r="K21" s="204"/>
    </row>
    <row r="22" spans="1:11" ht="12.75" customHeight="1">
      <c r="A22" s="30" t="s">
        <v>115</v>
      </c>
      <c r="B22" s="110"/>
      <c r="C22" s="111"/>
      <c r="D22" s="111"/>
      <c r="E22" s="111"/>
      <c r="F22" s="20"/>
      <c r="G22" s="121"/>
      <c r="H22" s="122"/>
      <c r="I22" s="121"/>
      <c r="K22" s="128"/>
    </row>
    <row r="23" spans="1:11" ht="12.75" customHeight="1">
      <c r="A23" s="30" t="s">
        <v>53</v>
      </c>
      <c r="B23" s="110" t="s">
        <v>12</v>
      </c>
      <c r="C23" s="111">
        <f>'No. 1'!B19/'No. 1'!B20</f>
        <v>0.384</v>
      </c>
      <c r="D23" s="111">
        <f>'No. 1'!G19/'No. 1'!G20</f>
        <v>0.72</v>
      </c>
      <c r="E23" s="111">
        <f>'No. 1'!L19/'No. 1'!L20</f>
        <v>1.2</v>
      </c>
      <c r="F23" s="123">
        <f>'No. 1'!B30/'No. 1'!D30</f>
        <v>22.784</v>
      </c>
      <c r="G23" s="121">
        <f>+(F23*C23)</f>
        <v>8.749056</v>
      </c>
      <c r="H23" s="109">
        <f>SUM(F23*D23)</f>
        <v>16.40448</v>
      </c>
      <c r="I23" s="117">
        <f>SUM(F23*E23)</f>
        <v>27.340799999999998</v>
      </c>
      <c r="J23" s="201"/>
      <c r="K23" s="197"/>
    </row>
    <row r="24" spans="1:11" ht="12.75" customHeight="1">
      <c r="A24" s="18"/>
      <c r="B24" s="6"/>
      <c r="C24" s="6"/>
      <c r="D24" s="6"/>
      <c r="E24" s="6"/>
      <c r="F24" s="6"/>
      <c r="G24" s="106"/>
      <c r="H24" s="106"/>
      <c r="I24" s="106"/>
      <c r="J24" s="208"/>
      <c r="K24" s="203"/>
    </row>
    <row r="25" spans="1:10" ht="12.75" customHeight="1" thickBot="1">
      <c r="A25" s="30" t="s">
        <v>116</v>
      </c>
      <c r="B25" s="110"/>
      <c r="C25" s="111"/>
      <c r="D25" s="111"/>
      <c r="E25" s="111"/>
      <c r="F25" s="20"/>
      <c r="G25" s="121">
        <f>0.098712*12</f>
        <v>1.1845439999999998</v>
      </c>
      <c r="H25" s="205">
        <f>0.0947511*18</f>
        <v>1.7055198</v>
      </c>
      <c r="I25" s="120">
        <f>0.08755*24</f>
        <v>2.1012</v>
      </c>
      <c r="J25" s="206"/>
    </row>
    <row r="26" spans="1:11" ht="12.75" customHeight="1">
      <c r="A26" s="272" t="s">
        <v>168</v>
      </c>
      <c r="B26" s="273"/>
      <c r="C26" s="273"/>
      <c r="D26" s="273"/>
      <c r="E26" s="273"/>
      <c r="F26" s="274"/>
      <c r="G26" s="130">
        <f>SUM(G18:G25)</f>
        <v>80</v>
      </c>
      <c r="H26" s="130">
        <f>SUM(H18:H25)</f>
        <v>159.9999998</v>
      </c>
      <c r="I26" s="130">
        <f>SUM(I18:I25)</f>
        <v>295</v>
      </c>
      <c r="J26" s="199"/>
      <c r="K26" s="198"/>
    </row>
    <row r="27" spans="1:11" ht="12.75" customHeight="1">
      <c r="A27" s="18"/>
      <c r="B27" s="6"/>
      <c r="C27" s="6"/>
      <c r="D27" s="6"/>
      <c r="E27" s="6"/>
      <c r="F27" s="6"/>
      <c r="G27" s="106"/>
      <c r="H27" s="106"/>
      <c r="I27" s="106"/>
      <c r="J27" s="127"/>
      <c r="K27" s="127"/>
    </row>
    <row r="28" spans="1:11" ht="12.75" customHeight="1">
      <c r="A28" s="46" t="s">
        <v>121</v>
      </c>
      <c r="B28" s="6"/>
      <c r="C28" s="20">
        <f>G38</f>
        <v>160</v>
      </c>
      <c r="D28" s="20">
        <f>H38</f>
        <v>319.9999996</v>
      </c>
      <c r="E28" s="20">
        <f>I38</f>
        <v>590</v>
      </c>
      <c r="F28" s="6">
        <v>0.1</v>
      </c>
      <c r="G28" s="118">
        <f>C28*F28</f>
        <v>16</v>
      </c>
      <c r="H28" s="119">
        <f>D28*F28</f>
        <v>31.999999960000004</v>
      </c>
      <c r="I28" s="122">
        <f>E28*F28</f>
        <v>59</v>
      </c>
      <c r="J28" s="127"/>
      <c r="K28" s="198"/>
    </row>
    <row r="29" spans="1:10" ht="12.75" customHeight="1" thickBot="1">
      <c r="A29" s="18"/>
      <c r="B29" s="6"/>
      <c r="C29" s="6"/>
      <c r="D29" s="6"/>
      <c r="E29" s="6"/>
      <c r="F29" s="6"/>
      <c r="G29" s="106"/>
      <c r="H29" s="109"/>
      <c r="I29" s="109"/>
      <c r="J29" s="129"/>
    </row>
    <row r="30" spans="1:11" ht="12.75" customHeight="1" thickBot="1">
      <c r="A30" s="272" t="s">
        <v>122</v>
      </c>
      <c r="B30" s="273"/>
      <c r="C30" s="273"/>
      <c r="D30" s="273"/>
      <c r="E30" s="273"/>
      <c r="F30" s="274"/>
      <c r="G30" s="223">
        <f>SUM(G26:G29)</f>
        <v>96</v>
      </c>
      <c r="H30" s="223">
        <f>SUM(H26:H29)</f>
        <v>191.99999976</v>
      </c>
      <c r="I30" s="223">
        <f>SUM(I26:I29)</f>
        <v>354</v>
      </c>
      <c r="J30" s="128"/>
      <c r="K30" s="199"/>
    </row>
    <row r="31" spans="1:10" ht="12.75" customHeight="1" thickTop="1">
      <c r="A31" s="18"/>
      <c r="B31" s="6"/>
      <c r="C31" s="6"/>
      <c r="D31" s="6"/>
      <c r="E31" s="6"/>
      <c r="F31" s="6"/>
      <c r="G31" s="5"/>
      <c r="H31" s="5"/>
      <c r="I31" s="19"/>
      <c r="J31" s="202"/>
    </row>
    <row r="32" spans="1:9" ht="12.75" customHeight="1">
      <c r="A32" s="28"/>
      <c r="B32" s="6"/>
      <c r="C32" s="6"/>
      <c r="D32" s="6"/>
      <c r="E32" s="6"/>
      <c r="F32" s="6"/>
      <c r="G32" s="6"/>
      <c r="H32" s="6"/>
      <c r="I32" s="20"/>
    </row>
    <row r="33" spans="1:11" ht="12.75" customHeight="1">
      <c r="A33" s="112"/>
      <c r="B33" s="9"/>
      <c r="C33" s="9"/>
      <c r="D33" s="9"/>
      <c r="E33" s="9"/>
      <c r="F33" s="9"/>
      <c r="G33" s="9"/>
      <c r="H33" s="9"/>
      <c r="I33" s="113"/>
      <c r="J33" s="127"/>
      <c r="K33" s="100">
        <v>59.2</v>
      </c>
    </row>
    <row r="34" spans="1:11" ht="12.75" customHeight="1">
      <c r="A34" s="112"/>
      <c r="B34" s="9"/>
      <c r="C34" s="9"/>
      <c r="D34" s="9"/>
      <c r="E34" s="9"/>
      <c r="F34" s="9"/>
      <c r="G34" s="9"/>
      <c r="H34" s="9"/>
      <c r="I34" s="113"/>
      <c r="J34" s="136"/>
      <c r="K34" s="100">
        <v>59</v>
      </c>
    </row>
    <row r="35" spans="1:11" ht="12.75" customHeight="1">
      <c r="A35" s="8" t="s">
        <v>54</v>
      </c>
      <c r="B35" s="1"/>
      <c r="C35" s="133"/>
      <c r="D35" s="271" t="s">
        <v>120</v>
      </c>
      <c r="E35" s="271"/>
      <c r="F35" s="271"/>
      <c r="G35" s="131">
        <f>G26</f>
        <v>80</v>
      </c>
      <c r="H35" s="131">
        <f>H26</f>
        <v>159.9999998</v>
      </c>
      <c r="I35" s="132">
        <f>I26</f>
        <v>295</v>
      </c>
      <c r="K35" s="135"/>
    </row>
    <row r="36" spans="1:11" ht="12.75" customHeight="1">
      <c r="A36" s="112"/>
      <c r="B36" s="9"/>
      <c r="C36" s="9"/>
      <c r="D36" s="271" t="s">
        <v>119</v>
      </c>
      <c r="E36" s="271"/>
      <c r="F36" s="271"/>
      <c r="G36" s="114">
        <v>0.5</v>
      </c>
      <c r="H36" s="114">
        <v>0.5</v>
      </c>
      <c r="I36" s="114">
        <v>0.5</v>
      </c>
      <c r="K36" s="134"/>
    </row>
    <row r="37" spans="1:9" ht="12.75" customHeight="1">
      <c r="A37" s="112"/>
      <c r="B37" s="9"/>
      <c r="C37" s="9"/>
      <c r="D37" s="9" t="s">
        <v>172</v>
      </c>
      <c r="E37" s="131">
        <f>G35*100/50</f>
        <v>160</v>
      </c>
      <c r="F37" s="9"/>
      <c r="G37" s="9"/>
      <c r="H37" s="9"/>
      <c r="I37" s="113"/>
    </row>
    <row r="38" spans="1:9" ht="12.75" customHeight="1">
      <c r="A38" s="112"/>
      <c r="B38" s="9"/>
      <c r="C38" s="9"/>
      <c r="D38" s="9" t="s">
        <v>55</v>
      </c>
      <c r="E38" s="9"/>
      <c r="F38" s="142" t="s">
        <v>124</v>
      </c>
      <c r="G38" s="200">
        <f>(G35*100)/50</f>
        <v>160</v>
      </c>
      <c r="H38" s="200">
        <f>(H35*100)/50</f>
        <v>319.9999996</v>
      </c>
      <c r="I38" s="200">
        <f>(I35*100)/50</f>
        <v>590</v>
      </c>
    </row>
    <row r="39" spans="1:9" ht="12.75" customHeight="1">
      <c r="A39" s="112"/>
      <c r="B39" s="9"/>
      <c r="C39" s="9"/>
      <c r="D39" s="9"/>
      <c r="E39" s="9"/>
      <c r="F39" s="9"/>
      <c r="G39" s="9"/>
      <c r="H39" s="9"/>
      <c r="I39" s="113"/>
    </row>
    <row r="40" spans="1:9" ht="12.75" customHeight="1">
      <c r="A40" s="219" t="s">
        <v>123</v>
      </c>
      <c r="B40" s="1"/>
      <c r="C40" s="1"/>
      <c r="D40" s="1"/>
      <c r="E40" s="9"/>
      <c r="F40" s="9"/>
      <c r="G40" s="9"/>
      <c r="H40" s="9"/>
      <c r="I40" s="113"/>
    </row>
    <row r="41" spans="2:9" ht="12.75" customHeight="1">
      <c r="B41" s="100">
        <v>100</v>
      </c>
      <c r="E41" s="9"/>
      <c r="F41" s="9"/>
      <c r="G41" s="9"/>
      <c r="H41" s="9"/>
      <c r="I41" s="113"/>
    </row>
    <row r="42" spans="1:9" ht="12.75" customHeight="1">
      <c r="A42" s="48" t="s">
        <v>32</v>
      </c>
      <c r="B42" s="35" t="s">
        <v>33</v>
      </c>
      <c r="C42" s="35" t="s">
        <v>126</v>
      </c>
      <c r="D42" s="35" t="s">
        <v>125</v>
      </c>
      <c r="E42" s="9"/>
      <c r="F42" s="9"/>
      <c r="G42" s="140"/>
      <c r="H42" s="140"/>
      <c r="I42" s="141"/>
    </row>
    <row r="43" spans="1:9" ht="12.75" customHeight="1">
      <c r="A43" s="59" t="s">
        <v>144</v>
      </c>
      <c r="B43" s="115">
        <f>1*G38</f>
        <v>160</v>
      </c>
      <c r="C43" s="138">
        <f>1*G30</f>
        <v>96</v>
      </c>
      <c r="D43" s="143">
        <f>B43-C43</f>
        <v>64</v>
      </c>
      <c r="F43" s="145">
        <f>D43/B43</f>
        <v>0.4</v>
      </c>
      <c r="G43" s="9"/>
      <c r="H43" s="9"/>
      <c r="I43" s="9"/>
    </row>
    <row r="44" spans="1:9" ht="12.75" customHeight="1">
      <c r="A44" s="59" t="s">
        <v>145</v>
      </c>
      <c r="B44" s="115">
        <f>1*H38</f>
        <v>319.9999996</v>
      </c>
      <c r="C44" s="138">
        <f>1*H30</f>
        <v>191.99999976</v>
      </c>
      <c r="D44" s="143">
        <f>B44-C44</f>
        <v>127.99999984000002</v>
      </c>
      <c r="F44" s="145">
        <f>D44/B44</f>
        <v>0.4</v>
      </c>
      <c r="G44" s="9"/>
      <c r="H44" s="139"/>
      <c r="I44" s="139"/>
    </row>
    <row r="45" spans="1:9" ht="12.75" customHeight="1">
      <c r="A45" s="59" t="s">
        <v>146</v>
      </c>
      <c r="B45" s="116">
        <f>1*I38</f>
        <v>590</v>
      </c>
      <c r="C45" s="137">
        <f>1*I30</f>
        <v>354</v>
      </c>
      <c r="D45" s="143">
        <f>B45-C45</f>
        <v>236</v>
      </c>
      <c r="F45" s="145">
        <f>D45/B45</f>
        <v>0.4</v>
      </c>
      <c r="G45" s="9"/>
      <c r="H45" s="9"/>
      <c r="I45" s="113"/>
    </row>
    <row r="46" spans="1:9" ht="12.75" customHeight="1">
      <c r="A46" s="112"/>
      <c r="B46" s="9"/>
      <c r="C46" s="9"/>
      <c r="D46" s="9"/>
      <c r="E46" s="144"/>
      <c r="F46" s="9"/>
      <c r="G46" s="9"/>
      <c r="H46" s="9"/>
      <c r="I46" s="113"/>
    </row>
    <row r="47" spans="1:9" ht="12.75" customHeight="1">
      <c r="A47" s="112"/>
      <c r="B47" s="9"/>
      <c r="C47" s="9"/>
      <c r="D47" s="9"/>
      <c r="E47" s="9"/>
      <c r="F47" s="9"/>
      <c r="G47" s="9"/>
      <c r="H47" s="9"/>
      <c r="I47" s="113"/>
    </row>
    <row r="48" spans="1:9" ht="12.75" customHeight="1">
      <c r="A48" s="112"/>
      <c r="B48" s="9"/>
      <c r="C48" s="9"/>
      <c r="D48" s="9"/>
      <c r="E48" s="9"/>
      <c r="F48" s="9"/>
      <c r="G48" s="9"/>
      <c r="H48" s="9"/>
      <c r="I48" s="113"/>
    </row>
    <row r="49" spans="1:9" ht="12.75" customHeight="1">
      <c r="A49" s="112"/>
      <c r="B49" s="9"/>
      <c r="C49" s="9"/>
      <c r="D49" s="9"/>
      <c r="E49" s="9"/>
      <c r="F49" s="9"/>
      <c r="G49" s="9"/>
      <c r="H49" s="9"/>
      <c r="I49" s="113"/>
    </row>
    <row r="50" spans="1:9" ht="12.75" customHeight="1">
      <c r="A50" s="112"/>
      <c r="B50" s="9"/>
      <c r="C50" s="9"/>
      <c r="D50" s="9"/>
      <c r="E50" s="9"/>
      <c r="F50" s="9"/>
      <c r="G50" s="9"/>
      <c r="H50" s="9"/>
      <c r="I50" s="113"/>
    </row>
    <row r="51" spans="1:9" ht="12.75" customHeight="1">
      <c r="A51" s="112"/>
      <c r="B51" s="9"/>
      <c r="C51" s="9"/>
      <c r="D51" s="9"/>
      <c r="E51" s="9"/>
      <c r="F51" s="9"/>
      <c r="G51" s="9"/>
      <c r="H51" s="9"/>
      <c r="I51" s="113"/>
    </row>
    <row r="52" spans="1:9" ht="12.75" customHeight="1">
      <c r="A52" s="112"/>
      <c r="B52" s="9"/>
      <c r="C52" s="9"/>
      <c r="D52" s="9"/>
      <c r="E52" s="9"/>
      <c r="F52" s="9"/>
      <c r="G52" s="9"/>
      <c r="H52" s="9"/>
      <c r="I52" s="113"/>
    </row>
    <row r="53" spans="1:9" ht="12.75" customHeight="1">
      <c r="A53" s="112"/>
      <c r="B53" s="9"/>
      <c r="C53" s="9"/>
      <c r="D53" s="9"/>
      <c r="E53" s="9"/>
      <c r="F53" s="9"/>
      <c r="G53" s="9"/>
      <c r="H53" s="9"/>
      <c r="I53" s="113"/>
    </row>
    <row r="54" spans="1:9" ht="12.75" customHeight="1">
      <c r="A54" s="112"/>
      <c r="B54" s="9"/>
      <c r="C54" s="9"/>
      <c r="D54" s="9"/>
      <c r="E54" s="9"/>
      <c r="F54" s="9"/>
      <c r="G54" s="9"/>
      <c r="H54" s="9"/>
      <c r="I54" s="113"/>
    </row>
    <row r="55" spans="1:9" ht="12.75" customHeight="1">
      <c r="A55" s="112"/>
      <c r="B55" s="9"/>
      <c r="C55" s="9"/>
      <c r="D55" s="9"/>
      <c r="E55" s="9"/>
      <c r="F55" s="9"/>
      <c r="G55" s="9"/>
      <c r="H55" s="9"/>
      <c r="I55" s="113"/>
    </row>
    <row r="56" spans="1:9" ht="12.75" customHeight="1">
      <c r="A56" s="112"/>
      <c r="B56" s="9"/>
      <c r="C56" s="9"/>
      <c r="D56" s="9"/>
      <c r="E56" s="9"/>
      <c r="F56" s="9"/>
      <c r="G56" s="9"/>
      <c r="H56" s="9"/>
      <c r="I56" s="113"/>
    </row>
    <row r="57" spans="1:9" ht="12.75" customHeight="1">
      <c r="A57" s="112"/>
      <c r="B57" s="9"/>
      <c r="C57" s="9"/>
      <c r="D57" s="9"/>
      <c r="E57" s="9"/>
      <c r="F57" s="9"/>
      <c r="G57" s="9"/>
      <c r="H57" s="9"/>
      <c r="I57" s="113"/>
    </row>
    <row r="58" spans="1:9" ht="12.75" customHeight="1">
      <c r="A58" s="112"/>
      <c r="B58" s="9"/>
      <c r="C58" s="9"/>
      <c r="D58" s="9"/>
      <c r="E58" s="9"/>
      <c r="F58" s="9"/>
      <c r="G58" s="9"/>
      <c r="H58" s="9"/>
      <c r="I58" s="113"/>
    </row>
    <row r="59" spans="1:9" ht="12.75" customHeight="1">
      <c r="A59" s="112"/>
      <c r="B59" s="9"/>
      <c r="C59" s="9"/>
      <c r="D59" s="9"/>
      <c r="E59" s="9"/>
      <c r="F59" s="9"/>
      <c r="G59" s="9"/>
      <c r="H59" s="9"/>
      <c r="I59" s="113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</sheetData>
  <sheetProtection/>
  <mergeCells count="10">
    <mergeCell ref="D36:F36"/>
    <mergeCell ref="D35:F35"/>
    <mergeCell ref="A30:F30"/>
    <mergeCell ref="A2:I2"/>
    <mergeCell ref="A6:A7"/>
    <mergeCell ref="B6:B7"/>
    <mergeCell ref="F6:F7"/>
    <mergeCell ref="A26:F26"/>
    <mergeCell ref="C6:E6"/>
    <mergeCell ref="G6:I6"/>
  </mergeCells>
  <printOptions horizontalCentered="1"/>
  <pageMargins left="0.3937007874015748" right="0.35433070866141736" top="0.7874015748031497" bottom="0.3937007874015748" header="0" footer="0"/>
  <pageSetup horizontalDpi="300" verticalDpi="3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1" width="24.28125" style="0" customWidth="1"/>
    <col min="2" max="2" width="11.28125" style="0" customWidth="1"/>
    <col min="3" max="3" width="13.28125" style="0" customWidth="1"/>
    <col min="4" max="4" width="15.57421875" style="0" customWidth="1"/>
    <col min="5" max="5" width="12.7109375" style="0" customWidth="1"/>
    <col min="6" max="6" width="14.8515625" style="0" customWidth="1"/>
    <col min="7" max="7" width="12.140625" style="0" customWidth="1"/>
    <col min="8" max="8" width="15.421875" style="0" customWidth="1"/>
    <col min="9" max="9" width="12.28125" style="0" customWidth="1"/>
    <col min="10" max="10" width="11.8515625" style="0" customWidth="1"/>
    <col min="11" max="11" width="14.140625" style="0" bestFit="1" customWidth="1"/>
    <col min="12" max="12" width="11.7109375" style="0" bestFit="1" customWidth="1"/>
    <col min="13" max="13" width="12.7109375" style="0" bestFit="1" customWidth="1"/>
    <col min="14" max="14" width="13.140625" style="0" customWidth="1"/>
  </cols>
  <sheetData>
    <row r="1" ht="15.75">
      <c r="A1" s="56" t="s">
        <v>127</v>
      </c>
    </row>
    <row r="2" ht="12.75">
      <c r="A2" s="48"/>
    </row>
    <row r="3" ht="12.75">
      <c r="A3" s="48" t="s">
        <v>34</v>
      </c>
    </row>
    <row r="4" spans="1:4" ht="12.75">
      <c r="A4" s="48" t="s">
        <v>32</v>
      </c>
      <c r="B4" s="48" t="s">
        <v>35</v>
      </c>
      <c r="C4" s="35" t="s">
        <v>29</v>
      </c>
      <c r="D4" s="35" t="s">
        <v>36</v>
      </c>
    </row>
    <row r="5" spans="1:5" ht="12.75">
      <c r="A5" s="59" t="s">
        <v>144</v>
      </c>
      <c r="B5" s="146">
        <f>1*'No. 2'!D43</f>
        <v>64</v>
      </c>
      <c r="C5" s="44" t="s">
        <v>29</v>
      </c>
      <c r="D5">
        <f>'No. 1'!B19/'No. 1'!B20</f>
        <v>0.384</v>
      </c>
      <c r="E5" s="73">
        <f>B5/D5</f>
        <v>166.66666666666666</v>
      </c>
    </row>
    <row r="6" spans="1:6" ht="12.75">
      <c r="A6" s="59" t="s">
        <v>145</v>
      </c>
      <c r="B6" s="146">
        <f>1*'No. 2'!D44</f>
        <v>127.99999984000002</v>
      </c>
      <c r="C6" s="44" t="s">
        <v>29</v>
      </c>
      <c r="D6" s="82">
        <f>'No. 1'!G19/'No. 1'!G20</f>
        <v>0.72</v>
      </c>
      <c r="E6" s="73">
        <f>B6/D6</f>
        <v>177.7777775555556</v>
      </c>
      <c r="F6" s="48"/>
    </row>
    <row r="7" spans="1:6" ht="12.75">
      <c r="A7" s="59" t="s">
        <v>146</v>
      </c>
      <c r="B7" s="146">
        <f>1*'No. 2'!D45</f>
        <v>236</v>
      </c>
      <c r="C7" s="44" t="s">
        <v>29</v>
      </c>
      <c r="D7" s="82">
        <f>'No. 1'!L19/'No. 1'!L20</f>
        <v>1.2</v>
      </c>
      <c r="E7" s="73">
        <f>B7/D7</f>
        <v>196.66666666666669</v>
      </c>
      <c r="F7" s="48" t="s">
        <v>37</v>
      </c>
    </row>
    <row r="9" ht="12.75">
      <c r="A9" s="48" t="s">
        <v>38</v>
      </c>
    </row>
    <row r="10" spans="1:4" ht="12.75">
      <c r="A10" s="48" t="s">
        <v>32</v>
      </c>
      <c r="B10" s="48" t="s">
        <v>35</v>
      </c>
      <c r="C10" s="35" t="s">
        <v>29</v>
      </c>
      <c r="D10" s="35" t="s">
        <v>39</v>
      </c>
    </row>
    <row r="11" spans="1:5" ht="12.75">
      <c r="A11" s="59" t="s">
        <v>144</v>
      </c>
      <c r="B11" s="147">
        <f>1*B5</f>
        <v>64</v>
      </c>
      <c r="C11" s="44" t="s">
        <v>29</v>
      </c>
      <c r="D11" s="82">
        <f>'No. 1'!B22/'No. 1'!B23</f>
        <v>0.096</v>
      </c>
      <c r="E11" s="73">
        <f>B11/D11</f>
        <v>666.6666666666666</v>
      </c>
    </row>
    <row r="12" spans="1:6" ht="12.75">
      <c r="A12" s="59" t="s">
        <v>145</v>
      </c>
      <c r="B12" s="147">
        <f>1*B6</f>
        <v>127.99999984000002</v>
      </c>
      <c r="C12" s="44" t="s">
        <v>29</v>
      </c>
      <c r="D12" s="82">
        <f>'No. 1'!G22/'No. 1'!G23</f>
        <v>0.18</v>
      </c>
      <c r="E12" s="73">
        <f>B12/D12</f>
        <v>711.1111102222224</v>
      </c>
      <c r="F12" s="48"/>
    </row>
    <row r="13" spans="1:6" ht="12.75">
      <c r="A13" s="59" t="s">
        <v>146</v>
      </c>
      <c r="B13" s="60">
        <f>1*B7</f>
        <v>236</v>
      </c>
      <c r="C13" s="44" t="s">
        <v>29</v>
      </c>
      <c r="D13" s="82">
        <f>'No. 1'!L22/'No. 1'!L23</f>
        <v>0.3</v>
      </c>
      <c r="E13" s="73">
        <f>B13/D13</f>
        <v>786.6666666666667</v>
      </c>
      <c r="F13" s="48" t="s">
        <v>37</v>
      </c>
    </row>
    <row r="15" ht="12.75">
      <c r="A15" s="48" t="s">
        <v>40</v>
      </c>
    </row>
    <row r="16" spans="1:4" ht="12.75">
      <c r="A16" s="48" t="s">
        <v>32</v>
      </c>
      <c r="B16" s="48" t="s">
        <v>35</v>
      </c>
      <c r="C16" s="35" t="s">
        <v>41</v>
      </c>
      <c r="D16" s="35" t="s">
        <v>1</v>
      </c>
    </row>
    <row r="17" spans="1:5" ht="12.75">
      <c r="A17" s="59" t="s">
        <v>144</v>
      </c>
      <c r="B17" s="147">
        <f>1*B5</f>
        <v>64</v>
      </c>
      <c r="C17" s="44" t="s">
        <v>41</v>
      </c>
      <c r="D17" s="49">
        <f>'No. 1'!D18</f>
        <v>42968.75</v>
      </c>
      <c r="E17" s="50">
        <f>B17*D17</f>
        <v>2750000</v>
      </c>
    </row>
    <row r="18" spans="1:6" ht="12.75">
      <c r="A18" s="59" t="s">
        <v>145</v>
      </c>
      <c r="B18" s="147">
        <f>1*B6</f>
        <v>127.99999984000002</v>
      </c>
      <c r="C18" s="44" t="s">
        <v>41</v>
      </c>
      <c r="D18" s="49">
        <f>'No. 1'!I18</f>
        <v>22916.666666666668</v>
      </c>
      <c r="E18" s="50">
        <f>B18*D18</f>
        <v>2933333.329666667</v>
      </c>
      <c r="F18" s="48"/>
    </row>
    <row r="19" spans="1:6" ht="12.75">
      <c r="A19" s="59" t="s">
        <v>146</v>
      </c>
      <c r="B19" s="60">
        <f>1*B7</f>
        <v>236</v>
      </c>
      <c r="C19" s="44" t="s">
        <v>41</v>
      </c>
      <c r="D19" s="49">
        <f>'No. 1'!N18</f>
        <v>13750</v>
      </c>
      <c r="E19" s="50">
        <f>B19*D19</f>
        <v>3245000</v>
      </c>
      <c r="F19" s="48" t="s">
        <v>37</v>
      </c>
    </row>
    <row r="21" ht="15.75">
      <c r="A21" s="56" t="s">
        <v>173</v>
      </c>
    </row>
    <row r="23" spans="6:12" ht="12.75">
      <c r="F23" s="47"/>
      <c r="L23" s="44"/>
    </row>
    <row r="24" spans="1:12" ht="12.75">
      <c r="A24" s="59" t="s">
        <v>56</v>
      </c>
      <c r="B24" s="59" t="s">
        <v>57</v>
      </c>
      <c r="E24" s="157">
        <v>29535</v>
      </c>
      <c r="F24" s="47"/>
      <c r="L24" s="44"/>
    </row>
    <row r="25" spans="2:12" ht="13.5" thickBot="1">
      <c r="B25" s="59" t="s">
        <v>58</v>
      </c>
      <c r="E25" s="158">
        <v>20560.85</v>
      </c>
      <c r="F25" s="47"/>
      <c r="L25" s="44"/>
    </row>
    <row r="26" spans="2:12" ht="12.75">
      <c r="B26" s="59" t="s">
        <v>91</v>
      </c>
      <c r="E26" s="157">
        <f>E24+E25</f>
        <v>50095.85</v>
      </c>
      <c r="F26" s="47"/>
      <c r="L26" s="44"/>
    </row>
    <row r="27" ht="12.75">
      <c r="L27" s="44"/>
    </row>
    <row r="28" spans="1:12" ht="12.75">
      <c r="A28" s="48" t="s">
        <v>142</v>
      </c>
      <c r="B28" s="54"/>
      <c r="C28" s="69">
        <f>1*E26</f>
        <v>50095.85</v>
      </c>
      <c r="D28" s="280" t="s">
        <v>5</v>
      </c>
      <c r="E28" s="281">
        <f>SUM(C28/C29)</f>
        <v>0.07341126908053218</v>
      </c>
      <c r="L28" s="44"/>
    </row>
    <row r="29" spans="1:12" ht="13.5" thickBot="1">
      <c r="A29" t="s">
        <v>43</v>
      </c>
      <c r="B29" s="54"/>
      <c r="C29" s="157">
        <f>1*H41</f>
        <v>682399.99972</v>
      </c>
      <c r="D29" s="280"/>
      <c r="E29" s="282"/>
      <c r="G29" s="59" t="s">
        <v>61</v>
      </c>
      <c r="H29" s="67" t="s">
        <v>62</v>
      </c>
      <c r="I29" s="285" t="s">
        <v>5</v>
      </c>
      <c r="J29" s="159">
        <f>1*H41</f>
        <v>682399.99972</v>
      </c>
      <c r="K29" s="238">
        <f>J29/J30</f>
        <v>0.39999999999999997</v>
      </c>
      <c r="L29" s="44"/>
    </row>
    <row r="30" spans="2:12" ht="12.75">
      <c r="B30" s="54"/>
      <c r="H30" s="68" t="s">
        <v>63</v>
      </c>
      <c r="I30" s="285"/>
      <c r="J30" s="63">
        <f>1*D41</f>
        <v>1705999.9993</v>
      </c>
      <c r="K30" s="238"/>
      <c r="L30" s="44"/>
    </row>
    <row r="31" spans="1:12" ht="12.75">
      <c r="A31" s="48" t="s">
        <v>143</v>
      </c>
      <c r="B31" s="54"/>
      <c r="C31" s="65">
        <f>1*E26</f>
        <v>50095.85</v>
      </c>
      <c r="D31" s="280" t="s">
        <v>5</v>
      </c>
      <c r="E31" s="283">
        <f>SUM(C31/C32)</f>
        <v>125239.625</v>
      </c>
      <c r="L31" s="44"/>
    </row>
    <row r="32" spans="1:12" ht="12.75">
      <c r="A32" s="59" t="s">
        <v>60</v>
      </c>
      <c r="B32" s="54"/>
      <c r="C32" s="210">
        <f>H41/D41</f>
        <v>0.39999999999999997</v>
      </c>
      <c r="D32" s="280"/>
      <c r="E32" s="284"/>
      <c r="L32" s="44"/>
    </row>
    <row r="33" spans="6:12" ht="12.75">
      <c r="F33" s="47"/>
      <c r="L33" s="44"/>
    </row>
    <row r="34" spans="4:12" ht="12.75">
      <c r="D34" s="209"/>
      <c r="F34" s="47"/>
      <c r="L34" s="44"/>
    </row>
    <row r="35" spans="6:12" ht="12.75">
      <c r="F35" s="47"/>
      <c r="L35" s="44">
        <v>7</v>
      </c>
    </row>
    <row r="36" spans="2:14" s="44" customFormat="1" ht="12.75">
      <c r="B36" s="44">
        <v>1</v>
      </c>
      <c r="C36" s="44">
        <v>2</v>
      </c>
      <c r="D36" s="44" t="s">
        <v>135</v>
      </c>
      <c r="E36" s="44">
        <v>3</v>
      </c>
      <c r="F36" s="160" t="s">
        <v>136</v>
      </c>
      <c r="G36" s="44">
        <v>4</v>
      </c>
      <c r="H36" s="44" t="s">
        <v>137</v>
      </c>
      <c r="I36" s="44">
        <v>5</v>
      </c>
      <c r="J36" s="44" t="s">
        <v>138</v>
      </c>
      <c r="K36" s="44">
        <v>6</v>
      </c>
      <c r="L36" s="44" t="s">
        <v>139</v>
      </c>
      <c r="M36" s="44" t="s">
        <v>140</v>
      </c>
      <c r="N36" s="44" t="s">
        <v>141</v>
      </c>
    </row>
    <row r="37" spans="1:16" s="44" customFormat="1" ht="12.75">
      <c r="A37" s="35" t="s">
        <v>32</v>
      </c>
      <c r="B37" s="35" t="s">
        <v>42</v>
      </c>
      <c r="C37" s="35" t="s">
        <v>33</v>
      </c>
      <c r="D37" s="35" t="s">
        <v>3</v>
      </c>
      <c r="E37" s="35" t="s">
        <v>154</v>
      </c>
      <c r="F37" s="35" t="s">
        <v>2</v>
      </c>
      <c r="G37" s="35" t="s">
        <v>35</v>
      </c>
      <c r="H37" s="35" t="s">
        <v>129</v>
      </c>
      <c r="I37" s="35" t="s">
        <v>130</v>
      </c>
      <c r="J37" s="35" t="s">
        <v>132</v>
      </c>
      <c r="K37" s="35" t="s">
        <v>45</v>
      </c>
      <c r="L37" s="35" t="s">
        <v>133</v>
      </c>
      <c r="M37" s="35" t="s">
        <v>134</v>
      </c>
      <c r="N37" s="48" t="s">
        <v>176</v>
      </c>
      <c r="P37" s="35"/>
    </row>
    <row r="38" spans="1:16" ht="12.75">
      <c r="A38" s="59" t="s">
        <v>144</v>
      </c>
      <c r="B38" s="49">
        <f>'No. 1'!B55:C55/12</f>
        <v>2000</v>
      </c>
      <c r="C38" s="47">
        <f>'No. 2'!G38</f>
        <v>160</v>
      </c>
      <c r="D38" s="74">
        <f>SUM(C38*B38)</f>
        <v>320000</v>
      </c>
      <c r="E38" s="147">
        <f>'No. 2'!G30</f>
        <v>96</v>
      </c>
      <c r="F38" s="47">
        <f>SUM(E38*B38)</f>
        <v>192000</v>
      </c>
      <c r="G38" s="147">
        <f>C38-E38</f>
        <v>64</v>
      </c>
      <c r="H38" s="47">
        <f>SUM(G38*B38)</f>
        <v>128000</v>
      </c>
      <c r="I38" s="150">
        <f>D5</f>
        <v>0.384</v>
      </c>
      <c r="J38" s="152">
        <f>B38*I38</f>
        <v>768</v>
      </c>
      <c r="K38" s="153">
        <f>E28</f>
        <v>0.07341126908053218</v>
      </c>
      <c r="L38" s="211">
        <f>B38*K38</f>
        <v>146.82253816106436</v>
      </c>
      <c r="M38" s="155">
        <f>L38*C38</f>
        <v>23491.606105770297</v>
      </c>
      <c r="N38" s="155">
        <f>L38*I38</f>
        <v>56.37985465384872</v>
      </c>
      <c r="P38" s="150"/>
    </row>
    <row r="39" spans="1:16" ht="12.75">
      <c r="A39" s="59" t="s">
        <v>145</v>
      </c>
      <c r="B39" s="49">
        <f>'No. 1'!D55/18</f>
        <v>1750</v>
      </c>
      <c r="C39" s="47">
        <f>'No. 2'!H38</f>
        <v>319.9999996</v>
      </c>
      <c r="D39" s="74">
        <f>SUM(C39*B39)</f>
        <v>559999.9993</v>
      </c>
      <c r="E39" s="147">
        <f>'No. 2'!H30</f>
        <v>191.99999976</v>
      </c>
      <c r="F39" s="47">
        <f>SUM(E39*B39)</f>
        <v>335999.99958</v>
      </c>
      <c r="G39" s="147">
        <f>C39-E39</f>
        <v>127.99999984000002</v>
      </c>
      <c r="H39" s="47">
        <f>SUM(G39*B39)</f>
        <v>223999.99972000002</v>
      </c>
      <c r="I39" s="150">
        <f>D6</f>
        <v>0.72</v>
      </c>
      <c r="J39" s="152">
        <f>B39*I39</f>
        <v>1260</v>
      </c>
      <c r="K39" s="153">
        <f>K38</f>
        <v>0.07341126908053218</v>
      </c>
      <c r="L39" s="211">
        <f>B39*K39</f>
        <v>128.4697208909313</v>
      </c>
      <c r="M39" s="155">
        <f>L39*C39</f>
        <v>41110.310633710134</v>
      </c>
      <c r="N39" s="155">
        <f>L39*I39</f>
        <v>92.49819904147054</v>
      </c>
      <c r="P39" s="150"/>
    </row>
    <row r="40" spans="1:16" ht="12.75">
      <c r="A40" s="59" t="s">
        <v>146</v>
      </c>
      <c r="B40" s="49">
        <f>'No. 1'!E55/24</f>
        <v>1400</v>
      </c>
      <c r="C40" s="149">
        <f>'No. 2'!I38</f>
        <v>590</v>
      </c>
      <c r="D40" s="75">
        <f>SUM(C40*B40)</f>
        <v>826000</v>
      </c>
      <c r="E40" s="147">
        <f>'No. 2'!I30</f>
        <v>354</v>
      </c>
      <c r="F40" s="76">
        <f>SUM(E40*B40)</f>
        <v>495600</v>
      </c>
      <c r="G40" s="147">
        <f>C40-E40</f>
        <v>236</v>
      </c>
      <c r="H40" s="154">
        <f>SUM(G40*B40)</f>
        <v>330400</v>
      </c>
      <c r="I40" s="150">
        <f>D7</f>
        <v>1.2</v>
      </c>
      <c r="J40" s="152">
        <f>B40*I40</f>
        <v>1680</v>
      </c>
      <c r="K40" s="153">
        <f>K39</f>
        <v>0.07341126908053218</v>
      </c>
      <c r="L40" s="211">
        <f>B40*K40</f>
        <v>102.77577671274506</v>
      </c>
      <c r="M40" s="155">
        <f>L40*C40</f>
        <v>60637.70826051958</v>
      </c>
      <c r="N40" s="155">
        <f>L40*I40</f>
        <v>123.33093205529406</v>
      </c>
      <c r="P40" s="150"/>
    </row>
    <row r="41" spans="4:16" ht="13.5" thickBot="1">
      <c r="D41" s="73">
        <f>SUM(D38:D40)</f>
        <v>1705999.9993</v>
      </c>
      <c r="F41" s="73">
        <f>SUM(F38:F40)</f>
        <v>1023599.9995800001</v>
      </c>
      <c r="H41" s="73">
        <f>SUM(H38:H40)</f>
        <v>682399.99972</v>
      </c>
      <c r="I41" s="73"/>
      <c r="K41" s="73"/>
      <c r="L41" s="212">
        <f>SUM(L38:L40)</f>
        <v>378.06803576474067</v>
      </c>
      <c r="M41" s="156">
        <f>SUM(M38:M40)</f>
        <v>125239.62500000001</v>
      </c>
      <c r="N41" s="161">
        <f>SUM(N38:N40)</f>
        <v>272.20898575061335</v>
      </c>
      <c r="P41" s="81"/>
    </row>
    <row r="42" ht="13.5" thickTop="1">
      <c r="F42" s="47"/>
    </row>
    <row r="44" spans="1:2" ht="12.75">
      <c r="A44" s="48" t="s">
        <v>64</v>
      </c>
      <c r="B44" s="48"/>
    </row>
    <row r="45" spans="1:11" ht="12.75">
      <c r="A45" s="48" t="s">
        <v>3</v>
      </c>
      <c r="B45" s="35" t="s">
        <v>133</v>
      </c>
      <c r="C45" s="70" t="s">
        <v>124</v>
      </c>
      <c r="D45" s="57" t="s">
        <v>65</v>
      </c>
      <c r="E45" s="35"/>
      <c r="F45" s="35"/>
      <c r="G45" s="48"/>
      <c r="H45" s="35"/>
      <c r="I45" s="35"/>
      <c r="J45" s="35"/>
      <c r="K45" s="35"/>
    </row>
    <row r="46" spans="1:11" ht="12.75">
      <c r="A46" s="59" t="s">
        <v>144</v>
      </c>
      <c r="B46" s="78">
        <f>1*L38</f>
        <v>146.82253816106436</v>
      </c>
      <c r="C46" s="47">
        <f>1*C38</f>
        <v>160</v>
      </c>
      <c r="D46" s="74">
        <f>SUM(C46*B46)</f>
        <v>23491.606105770297</v>
      </c>
      <c r="E46" s="47"/>
      <c r="F46" s="47"/>
      <c r="G46" s="47"/>
      <c r="H46" s="47"/>
      <c r="I46" s="52"/>
      <c r="J46" s="55"/>
      <c r="K46" s="47"/>
    </row>
    <row r="47" spans="1:11" ht="12.75">
      <c r="A47" s="59" t="s">
        <v>145</v>
      </c>
      <c r="B47" s="78">
        <f>1*L39</f>
        <v>128.4697208909313</v>
      </c>
      <c r="C47" s="47">
        <f>1*C39</f>
        <v>319.9999996</v>
      </c>
      <c r="D47" s="74">
        <f>SUM(C47*B47)</f>
        <v>41110.310633710134</v>
      </c>
      <c r="E47" s="47"/>
      <c r="F47" s="47"/>
      <c r="G47" s="47"/>
      <c r="H47" s="47"/>
      <c r="I47" s="167"/>
      <c r="J47" s="55"/>
      <c r="K47" s="47"/>
    </row>
    <row r="48" spans="1:11" ht="13.5" thickBot="1">
      <c r="A48" s="59" t="s">
        <v>146</v>
      </c>
      <c r="B48" s="79">
        <f>1*L40</f>
        <v>102.77577671274506</v>
      </c>
      <c r="C48" s="47">
        <f>1*C40</f>
        <v>590</v>
      </c>
      <c r="D48" s="162">
        <f>SUM(C48*B48)</f>
        <v>60637.70826051958</v>
      </c>
      <c r="E48" s="73">
        <f>SUM(D46:D48)</f>
        <v>125239.62500000001</v>
      </c>
      <c r="F48" s="47"/>
      <c r="G48" s="47"/>
      <c r="H48" s="47"/>
      <c r="I48" s="52"/>
      <c r="J48" s="55"/>
      <c r="K48" s="47"/>
    </row>
    <row r="49" spans="1:11" ht="12.75">
      <c r="A49" s="48" t="s">
        <v>175</v>
      </c>
      <c r="B49" s="55"/>
      <c r="C49" s="77" t="s">
        <v>68</v>
      </c>
      <c r="D49" s="163"/>
      <c r="E49" s="61"/>
      <c r="F49" s="47"/>
      <c r="G49" s="47"/>
      <c r="H49" s="47"/>
      <c r="I49" s="52"/>
      <c r="J49" s="55"/>
      <c r="K49" s="47"/>
    </row>
    <row r="50" spans="1:11" ht="12.75">
      <c r="A50" s="59" t="s">
        <v>144</v>
      </c>
      <c r="B50" s="49">
        <f>1*L38</f>
        <v>146.82253816106436</v>
      </c>
      <c r="C50" s="47">
        <f>1*E38</f>
        <v>96</v>
      </c>
      <c r="D50" s="74">
        <f>SUM(C50*B50)</f>
        <v>14094.963663462178</v>
      </c>
      <c r="E50" s="47"/>
      <c r="F50" s="47"/>
      <c r="G50" s="47"/>
      <c r="H50" s="47"/>
      <c r="I50" s="167"/>
      <c r="J50" s="55"/>
      <c r="K50" s="47"/>
    </row>
    <row r="51" spans="1:11" ht="12.75">
      <c r="A51" s="59" t="s">
        <v>145</v>
      </c>
      <c r="B51" s="49">
        <f>1*L39</f>
        <v>128.4697208909313</v>
      </c>
      <c r="C51" s="47">
        <f>1*E39</f>
        <v>191.99999976</v>
      </c>
      <c r="D51" s="74">
        <f>SUM(C51*B51)</f>
        <v>24666.18638022608</v>
      </c>
      <c r="E51" s="115"/>
      <c r="F51" s="47"/>
      <c r="G51" s="47"/>
      <c r="H51" s="47"/>
      <c r="I51" s="52"/>
      <c r="J51" s="55"/>
      <c r="K51" s="47"/>
    </row>
    <row r="52" spans="1:11" ht="13.5" thickBot="1">
      <c r="A52" s="59" t="s">
        <v>146</v>
      </c>
      <c r="B52" s="55">
        <f>1*L40</f>
        <v>102.77577671274506</v>
      </c>
      <c r="C52" s="47">
        <f>1*E40</f>
        <v>354</v>
      </c>
      <c r="D52" s="162">
        <f>SUM(C52*B52)</f>
        <v>36382.62495631175</v>
      </c>
      <c r="E52" s="164">
        <f>SUM(D50:D52)</f>
        <v>75143.77500000002</v>
      </c>
      <c r="F52" s="47"/>
      <c r="G52" s="47"/>
      <c r="H52" s="47"/>
      <c r="I52" s="52"/>
      <c r="J52" s="55"/>
      <c r="K52" s="47"/>
    </row>
    <row r="53" spans="1:11" ht="12.75">
      <c r="A53" s="48" t="s">
        <v>151</v>
      </c>
      <c r="B53" s="48"/>
      <c r="C53" s="55"/>
      <c r="D53" s="71"/>
      <c r="E53" s="115">
        <f>E48-E52</f>
        <v>50095.84999999999</v>
      </c>
      <c r="F53" s="47"/>
      <c r="G53" s="47"/>
      <c r="H53" s="47"/>
      <c r="I53" s="52"/>
      <c r="J53" s="55"/>
      <c r="K53" s="47"/>
    </row>
    <row r="54" spans="1:11" ht="13.5" thickBot="1">
      <c r="A54" s="59" t="s">
        <v>179</v>
      </c>
      <c r="D54" s="51"/>
      <c r="E54" s="165">
        <f>E26</f>
        <v>50095.85</v>
      </c>
      <c r="F54" s="51"/>
      <c r="H54" s="51"/>
      <c r="J54" s="55"/>
      <c r="K54" s="47"/>
    </row>
    <row r="55" spans="1:11" ht="12.75">
      <c r="A55" s="59" t="s">
        <v>84</v>
      </c>
      <c r="E55" s="166">
        <f>E53-E54</f>
        <v>0</v>
      </c>
      <c r="H55" s="51"/>
      <c r="J55" s="55"/>
      <c r="K55" s="47"/>
    </row>
    <row r="56" spans="8:11" ht="12.75">
      <c r="H56" s="51"/>
      <c r="J56" s="55"/>
      <c r="K56" s="47"/>
    </row>
    <row r="57" spans="4:11" ht="12.75">
      <c r="D57" s="51"/>
      <c r="F57" s="51"/>
      <c r="H57" s="51"/>
      <c r="J57" s="55"/>
      <c r="K57" s="47"/>
    </row>
  </sheetData>
  <sheetProtection/>
  <mergeCells count="6">
    <mergeCell ref="K29:K30"/>
    <mergeCell ref="D28:D29"/>
    <mergeCell ref="E28:E29"/>
    <mergeCell ref="D31:D32"/>
    <mergeCell ref="E31:E32"/>
    <mergeCell ref="I29:I30"/>
  </mergeCells>
  <printOptions/>
  <pageMargins left="0.21" right="0.19" top="0.3937007874015748" bottom="0.3937007874015748" header="0" footer="0"/>
  <pageSetup horizontalDpi="300" verticalDpi="300" orientation="landscape" scale="70" r:id="rId1"/>
  <ignoredErrors>
    <ignoredError sqref="B3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"/>
  <sheetViews>
    <sheetView zoomScalePageLayoutView="0" workbookViewId="0" topLeftCell="A1">
      <selection activeCell="F41" sqref="F41"/>
    </sheetView>
  </sheetViews>
  <sheetFormatPr defaultColWidth="11.421875" defaultRowHeight="12.75"/>
  <cols>
    <col min="1" max="1" width="25.140625" style="0" customWidth="1"/>
    <col min="2" max="2" width="12.00390625" style="0" customWidth="1"/>
    <col min="3" max="3" width="13.00390625" style="0" customWidth="1"/>
    <col min="4" max="4" width="14.7109375" style="0" customWidth="1"/>
    <col min="5" max="5" width="12.421875" style="0" customWidth="1"/>
    <col min="6" max="6" width="14.8515625" style="0" customWidth="1"/>
    <col min="7" max="7" width="11.8515625" style="0" bestFit="1" customWidth="1"/>
    <col min="8" max="8" width="13.421875" style="0" customWidth="1"/>
    <col min="9" max="9" width="11.00390625" style="0" customWidth="1"/>
    <col min="10" max="10" width="12.7109375" style="0" customWidth="1"/>
    <col min="11" max="11" width="13.7109375" style="0" bestFit="1" customWidth="1"/>
    <col min="13" max="13" width="13.421875" style="0" customWidth="1"/>
    <col min="14" max="15" width="13.140625" style="0" bestFit="1" customWidth="1"/>
  </cols>
  <sheetData>
    <row r="1" ht="15.75">
      <c r="A1" s="56" t="s">
        <v>148</v>
      </c>
    </row>
    <row r="2" ht="11.25" customHeight="1">
      <c r="A2" s="56"/>
    </row>
    <row r="3" spans="4:6" ht="12.75">
      <c r="D3" s="44" t="s">
        <v>89</v>
      </c>
      <c r="E3" s="44" t="s">
        <v>85</v>
      </c>
      <c r="F3" s="44" t="s">
        <v>86</v>
      </c>
    </row>
    <row r="4" spans="1:6" ht="12.75">
      <c r="A4" t="s">
        <v>66</v>
      </c>
      <c r="D4" s="47">
        <f>C22</f>
        <v>152</v>
      </c>
      <c r="E4" s="47">
        <f>C23</f>
        <v>303.99999962</v>
      </c>
      <c r="F4" s="60">
        <f>C24</f>
        <v>560.5</v>
      </c>
    </row>
    <row r="5" spans="1:6" ht="12.75">
      <c r="A5" t="s">
        <v>147</v>
      </c>
      <c r="D5" s="147">
        <f>G30</f>
        <v>95.2</v>
      </c>
      <c r="E5" s="147">
        <f>H30</f>
        <v>190.39999976200002</v>
      </c>
      <c r="F5" s="147">
        <f>I30</f>
        <v>351.05</v>
      </c>
    </row>
    <row r="6" spans="1:6" ht="13.5" thickBot="1">
      <c r="A6" t="s">
        <v>90</v>
      </c>
      <c r="D6" s="96">
        <f>D4-D5</f>
        <v>56.8</v>
      </c>
      <c r="E6" s="96">
        <f>E4-E5</f>
        <v>113.59999985799996</v>
      </c>
      <c r="F6" s="96">
        <f>F4-F5</f>
        <v>209.45</v>
      </c>
    </row>
    <row r="7" ht="13.5" thickTop="1"/>
    <row r="9" spans="1:10" ht="12.75">
      <c r="A9" s="59" t="s">
        <v>56</v>
      </c>
      <c r="B9" s="59" t="s">
        <v>57</v>
      </c>
      <c r="E9" s="59"/>
      <c r="F9" s="47"/>
      <c r="G9" t="s">
        <v>67</v>
      </c>
      <c r="J9" s="63">
        <v>25000</v>
      </c>
    </row>
    <row r="10" spans="2:10" ht="12.75">
      <c r="B10" s="59" t="s">
        <v>58</v>
      </c>
      <c r="E10" s="59"/>
      <c r="F10" s="47"/>
      <c r="G10" t="s">
        <v>87</v>
      </c>
      <c r="J10" s="63">
        <f>'No. 3'!E24</f>
        <v>29535</v>
      </c>
    </row>
    <row r="11" spans="2:10" ht="13.5" thickBot="1">
      <c r="B11" s="59" t="s">
        <v>59</v>
      </c>
      <c r="F11" s="47"/>
      <c r="G11" t="s">
        <v>58</v>
      </c>
      <c r="J11" s="64">
        <f>'No. 3'!E25</f>
        <v>20560.85</v>
      </c>
    </row>
    <row r="12" ht="12.75">
      <c r="J12" s="63">
        <f>SUM(J9:J11)</f>
        <v>75095.85</v>
      </c>
    </row>
    <row r="13" spans="1:5" ht="12.75">
      <c r="A13" s="48" t="s">
        <v>150</v>
      </c>
      <c r="B13" s="54"/>
      <c r="C13" s="69">
        <f>1*J12</f>
        <v>75095.85</v>
      </c>
      <c r="D13" s="280" t="s">
        <v>5</v>
      </c>
      <c r="E13" s="286">
        <f>SUM(C13/C14)</f>
        <v>0.12399625188780787</v>
      </c>
    </row>
    <row r="14" spans="1:11" ht="13.5" thickBot="1">
      <c r="A14" t="s">
        <v>43</v>
      </c>
      <c r="B14" s="54"/>
      <c r="C14" s="62">
        <f>1*F25</f>
        <v>605629.9997515</v>
      </c>
      <c r="D14" s="280"/>
      <c r="E14" s="287"/>
      <c r="G14" s="48" t="s">
        <v>61</v>
      </c>
      <c r="H14" s="67" t="s">
        <v>62</v>
      </c>
      <c r="I14" s="285" t="s">
        <v>5</v>
      </c>
      <c r="J14" s="64">
        <f>1*F25</f>
        <v>605629.9997515</v>
      </c>
      <c r="K14" s="280">
        <f>J14/J15</f>
        <v>0.3736842105263158</v>
      </c>
    </row>
    <row r="15" spans="2:11" ht="12.75">
      <c r="B15" s="54"/>
      <c r="E15" s="48"/>
      <c r="H15" s="68" t="s">
        <v>63</v>
      </c>
      <c r="I15" s="285"/>
      <c r="J15" s="63">
        <f>1*D25</f>
        <v>1620699.9993349998</v>
      </c>
      <c r="K15" s="280"/>
    </row>
    <row r="16" spans="1:5" ht="12.75">
      <c r="A16" s="48" t="s">
        <v>143</v>
      </c>
      <c r="B16" s="54"/>
      <c r="C16" s="65">
        <f>1*J12</f>
        <v>75095.85</v>
      </c>
      <c r="D16" s="280" t="s">
        <v>5</v>
      </c>
      <c r="E16" s="283">
        <f>SUM(C16/C17)</f>
        <v>200960.7253521127</v>
      </c>
    </row>
    <row r="17" spans="1:5" ht="12.75">
      <c r="A17" s="59" t="s">
        <v>60</v>
      </c>
      <c r="B17" s="54"/>
      <c r="C17" s="66">
        <f>F25/D25</f>
        <v>0.3736842105263158</v>
      </c>
      <c r="D17" s="280"/>
      <c r="E17" s="284"/>
    </row>
    <row r="19" spans="4:31" ht="12.75">
      <c r="D19" s="44"/>
      <c r="I19" s="44">
        <v>6</v>
      </c>
      <c r="K19" s="44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</row>
    <row r="20" spans="2:31" s="44" customFormat="1" ht="12.75">
      <c r="B20" s="44">
        <v>1</v>
      </c>
      <c r="C20" s="44">
        <v>2</v>
      </c>
      <c r="D20" s="44" t="s">
        <v>135</v>
      </c>
      <c r="E20" s="44">
        <v>3</v>
      </c>
      <c r="F20" s="44" t="s">
        <v>136</v>
      </c>
      <c r="G20" s="44">
        <v>4</v>
      </c>
      <c r="H20" s="44">
        <v>5</v>
      </c>
      <c r="I20" s="44" t="s">
        <v>138</v>
      </c>
      <c r="J20" s="44" t="s">
        <v>177</v>
      </c>
      <c r="K20" s="44" t="s">
        <v>178</v>
      </c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</row>
    <row r="21" spans="1:36" ht="12.75">
      <c r="A21" s="48" t="s">
        <v>32</v>
      </c>
      <c r="B21" s="53" t="s">
        <v>149</v>
      </c>
      <c r="C21" s="48" t="s">
        <v>33</v>
      </c>
      <c r="D21" s="48" t="s">
        <v>3</v>
      </c>
      <c r="E21" s="48" t="s">
        <v>35</v>
      </c>
      <c r="F21" s="35" t="s">
        <v>44</v>
      </c>
      <c r="G21" s="35" t="s">
        <v>130</v>
      </c>
      <c r="H21" s="35" t="s">
        <v>45</v>
      </c>
      <c r="I21" s="35" t="s">
        <v>47</v>
      </c>
      <c r="J21" s="35" t="s">
        <v>46</v>
      </c>
      <c r="K21" s="48" t="s">
        <v>176</v>
      </c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</row>
    <row r="22" spans="1:36" ht="12.75">
      <c r="A22" s="59" t="s">
        <v>144</v>
      </c>
      <c r="B22" s="49">
        <f>'No. 3'!B38</f>
        <v>2000</v>
      </c>
      <c r="C22" s="47">
        <f>'No. 3'!C38*0.95</f>
        <v>152</v>
      </c>
      <c r="D22" s="74">
        <f>SUM(C22*B22)</f>
        <v>304000</v>
      </c>
      <c r="E22" s="47">
        <f>D6</f>
        <v>56.8</v>
      </c>
      <c r="F22" s="47">
        <f>B22*E22</f>
        <v>113600</v>
      </c>
      <c r="G22" s="150">
        <f>'No. 3'!D5</f>
        <v>0.384</v>
      </c>
      <c r="H22" s="170">
        <f>C13/C14</f>
        <v>0.12399625188780787</v>
      </c>
      <c r="I22" s="213">
        <f aca="true" t="shared" si="0" ref="I22:J24">B22*H22</f>
        <v>247.99250377561575</v>
      </c>
      <c r="J22" s="47">
        <f t="shared" si="0"/>
        <v>37694.860573893595</v>
      </c>
      <c r="K22" s="155">
        <f>G22*I22</f>
        <v>95.22912144983644</v>
      </c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</row>
    <row r="23" spans="1:36" ht="12.75">
      <c r="A23" s="59" t="s">
        <v>145</v>
      </c>
      <c r="B23" s="49">
        <f>'No. 3'!B39</f>
        <v>1750</v>
      </c>
      <c r="C23" s="47">
        <f>'No. 3'!C39*0.95</f>
        <v>303.99999962</v>
      </c>
      <c r="D23" s="74">
        <f>SUM(C23*B23)</f>
        <v>531999.999335</v>
      </c>
      <c r="E23" s="47">
        <f>E6</f>
        <v>113.59999985799996</v>
      </c>
      <c r="F23" s="47">
        <f>B23*E23</f>
        <v>198799.99975149994</v>
      </c>
      <c r="G23" s="150">
        <f>'No. 3'!D6</f>
        <v>0.72</v>
      </c>
      <c r="H23" s="170">
        <f>C13/C14</f>
        <v>0.12399625188780787</v>
      </c>
      <c r="I23" s="213">
        <f t="shared" si="0"/>
        <v>216.9934408036638</v>
      </c>
      <c r="J23" s="47">
        <f t="shared" si="0"/>
        <v>65966.00592185628</v>
      </c>
      <c r="K23" s="155">
        <f>G23*I23</f>
        <v>156.23527737863793</v>
      </c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</row>
    <row r="24" spans="1:36" ht="12.75">
      <c r="A24" s="59" t="s">
        <v>146</v>
      </c>
      <c r="B24" s="49">
        <f>'No. 3'!B40</f>
        <v>1400</v>
      </c>
      <c r="C24" s="149">
        <f>'No. 3'!C40*0.95</f>
        <v>560.5</v>
      </c>
      <c r="D24" s="75">
        <f>SUM(C24*B24)</f>
        <v>784700</v>
      </c>
      <c r="E24" s="149">
        <f>F6</f>
        <v>209.45</v>
      </c>
      <c r="F24" s="154">
        <f>B24*E24</f>
        <v>293230</v>
      </c>
      <c r="G24" s="150">
        <f>'No. 3'!D7</f>
        <v>1.2</v>
      </c>
      <c r="H24" s="170">
        <f>C13/C14</f>
        <v>0.12399625188780787</v>
      </c>
      <c r="I24" s="213">
        <f t="shared" si="0"/>
        <v>173.594752642931</v>
      </c>
      <c r="J24" s="47">
        <f t="shared" si="0"/>
        <v>97299.85885636283</v>
      </c>
      <c r="K24" s="155">
        <f>G24*I24</f>
        <v>208.3137031715172</v>
      </c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</row>
    <row r="25" spans="4:36" ht="13.5" thickBot="1">
      <c r="D25" s="73">
        <f>SUM(D22:D24)</f>
        <v>1620699.9993349998</v>
      </c>
      <c r="F25" s="73">
        <f>SUM(F22:F24)</f>
        <v>605629.9997515</v>
      </c>
      <c r="I25" s="214">
        <f>SUM(I22:I24)</f>
        <v>638.5806972222106</v>
      </c>
      <c r="J25" s="96">
        <f>SUM(J22:J24)</f>
        <v>200960.72535211273</v>
      </c>
      <c r="K25" s="161">
        <f>SUM(K22:K24)</f>
        <v>459.7781019999916</v>
      </c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</row>
    <row r="26" spans="6:32" ht="13.5" thickTop="1">
      <c r="F26" s="47"/>
      <c r="J26" s="47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</row>
    <row r="27" spans="1:32" ht="12.75">
      <c r="A27" s="48" t="s">
        <v>153</v>
      </c>
      <c r="B27" s="35"/>
      <c r="C27" s="35"/>
      <c r="D27" s="35"/>
      <c r="E27" s="35"/>
      <c r="F27" s="44" t="s">
        <v>155</v>
      </c>
      <c r="G27" s="177" t="s">
        <v>50</v>
      </c>
      <c r="H27" s="177" t="s">
        <v>51</v>
      </c>
      <c r="I27" s="177" t="s">
        <v>52</v>
      </c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ht="12.75">
      <c r="A28" s="47" t="s">
        <v>117</v>
      </c>
      <c r="B28" s="47"/>
      <c r="C28" s="52"/>
      <c r="D28" s="55"/>
      <c r="E28" s="47"/>
      <c r="G28" s="168">
        <f>'No. 2'!G26</f>
        <v>80</v>
      </c>
      <c r="H28" s="168">
        <f>'No. 2'!H26</f>
        <v>159.9999998</v>
      </c>
      <c r="I28" s="168">
        <f>'No. 2'!I26</f>
        <v>295</v>
      </c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32" ht="12.75">
      <c r="A29" s="47" t="s">
        <v>152</v>
      </c>
      <c r="B29" s="47"/>
      <c r="C29" s="174">
        <f>C22</f>
        <v>152</v>
      </c>
      <c r="D29" s="47">
        <f>C23</f>
        <v>303.99999962</v>
      </c>
      <c r="E29" s="47">
        <f>C24</f>
        <v>560.5</v>
      </c>
      <c r="F29" s="44">
        <v>0.1</v>
      </c>
      <c r="G29" s="175">
        <f>C29*F29</f>
        <v>15.200000000000001</v>
      </c>
      <c r="H29" s="175">
        <f>F29*D29</f>
        <v>30.399999962</v>
      </c>
      <c r="I29" s="175">
        <f>F29*E29</f>
        <v>56.050000000000004</v>
      </c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</row>
    <row r="30" spans="1:32" ht="13.5" thickBot="1">
      <c r="A30" s="47" t="s">
        <v>122</v>
      </c>
      <c r="B30" s="47"/>
      <c r="C30" s="52"/>
      <c r="D30" s="55"/>
      <c r="E30" s="47"/>
      <c r="G30" s="176">
        <f>G28+G29</f>
        <v>95.2</v>
      </c>
      <c r="H30" s="176">
        <f>H28+H29</f>
        <v>190.39999976200002</v>
      </c>
      <c r="I30" s="176">
        <f>I28+I29</f>
        <v>351.05</v>
      </c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</row>
    <row r="31" spans="6:32" ht="13.5" thickTop="1">
      <c r="F31" s="47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</row>
    <row r="32" spans="6:32" ht="12.75">
      <c r="F32" s="47"/>
      <c r="G32" s="47"/>
      <c r="H32" s="47"/>
      <c r="I32" s="52"/>
      <c r="J32" s="55"/>
      <c r="K32" s="47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</row>
    <row r="33" spans="1:32" ht="12.75">
      <c r="A33" s="48" t="s">
        <v>64</v>
      </c>
      <c r="B33" s="48"/>
      <c r="F33" s="47"/>
      <c r="G33" s="47"/>
      <c r="H33" s="47"/>
      <c r="I33" s="52"/>
      <c r="J33" s="55"/>
      <c r="K33" s="47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</row>
    <row r="34" spans="1:32" ht="12.75">
      <c r="A34" s="48" t="s">
        <v>3</v>
      </c>
      <c r="B34" s="35" t="s">
        <v>133</v>
      </c>
      <c r="C34" s="70" t="s">
        <v>124</v>
      </c>
      <c r="D34" s="57" t="s">
        <v>65</v>
      </c>
      <c r="E34" s="35"/>
      <c r="F34" s="51"/>
      <c r="H34" s="51"/>
      <c r="J34" s="55"/>
      <c r="K34" s="47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</row>
    <row r="35" spans="1:32" ht="12.75">
      <c r="A35" s="59" t="s">
        <v>144</v>
      </c>
      <c r="B35" s="78">
        <f>1*I22</f>
        <v>247.99250377561575</v>
      </c>
      <c r="C35" s="47">
        <f>1*C22</f>
        <v>152</v>
      </c>
      <c r="D35" s="74">
        <f>SUM(C35*B35)</f>
        <v>37694.860573893595</v>
      </c>
      <c r="E35" s="73"/>
      <c r="H35" s="51"/>
      <c r="J35" s="55"/>
      <c r="K35" s="47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</row>
    <row r="36" spans="1:32" ht="12.75">
      <c r="A36" s="59" t="s">
        <v>145</v>
      </c>
      <c r="B36" s="78">
        <f>1*I23</f>
        <v>216.9934408036638</v>
      </c>
      <c r="C36" s="47">
        <f>1*C23</f>
        <v>303.99999962</v>
      </c>
      <c r="D36" s="74">
        <f>SUM(C36*B36)</f>
        <v>65966.00592185628</v>
      </c>
      <c r="E36" s="73"/>
      <c r="H36" s="51"/>
      <c r="J36" s="55"/>
      <c r="K36" s="47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</row>
    <row r="37" spans="1:32" ht="13.5" thickBot="1">
      <c r="A37" s="59" t="s">
        <v>146</v>
      </c>
      <c r="B37" s="78">
        <f>1*I24</f>
        <v>173.594752642931</v>
      </c>
      <c r="C37" s="47">
        <f>1*C24</f>
        <v>560.5</v>
      </c>
      <c r="D37" s="162">
        <f>SUM(C37*B37)</f>
        <v>97299.85885636283</v>
      </c>
      <c r="E37" s="73">
        <f>SUM(D35:D37)</f>
        <v>200960.72535211273</v>
      </c>
      <c r="H37" s="51"/>
      <c r="J37" s="55"/>
      <c r="K37" s="47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</row>
    <row r="38" spans="1:32" ht="12.75">
      <c r="A38" s="48" t="s">
        <v>175</v>
      </c>
      <c r="B38" s="55"/>
      <c r="C38" s="77" t="s">
        <v>68</v>
      </c>
      <c r="D38" s="163"/>
      <c r="E38" s="73"/>
      <c r="H38" s="51"/>
      <c r="J38" s="55"/>
      <c r="K38" s="47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</row>
    <row r="39" spans="1:32" ht="12.75">
      <c r="A39" s="59" t="s">
        <v>144</v>
      </c>
      <c r="B39" s="49">
        <f>1*I22</f>
        <v>247.99250377561575</v>
      </c>
      <c r="C39" s="151">
        <f>G30</f>
        <v>95.2</v>
      </c>
      <c r="D39" s="74">
        <f>SUM(C39*B39)</f>
        <v>23608.88635943862</v>
      </c>
      <c r="E39" s="73"/>
      <c r="F39" s="83"/>
      <c r="G39" s="83"/>
      <c r="H39" s="86"/>
      <c r="I39" s="86"/>
      <c r="J39" s="87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</row>
    <row r="40" spans="1:32" ht="12.75">
      <c r="A40" s="59" t="s">
        <v>145</v>
      </c>
      <c r="B40" s="49">
        <f>1*I23</f>
        <v>216.9934408036638</v>
      </c>
      <c r="C40" s="151">
        <f>H30</f>
        <v>190.39999976200002</v>
      </c>
      <c r="D40" s="74">
        <f>SUM(C40*B40)</f>
        <v>41315.55107737315</v>
      </c>
      <c r="E40" s="73"/>
      <c r="F40" s="83"/>
      <c r="G40" s="83"/>
      <c r="H40" s="86"/>
      <c r="I40" s="86"/>
      <c r="J40" s="87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</row>
    <row r="41" spans="1:32" ht="13.5" thickBot="1">
      <c r="A41" s="59" t="s">
        <v>146</v>
      </c>
      <c r="B41" s="55">
        <f>1*I24</f>
        <v>173.594752642931</v>
      </c>
      <c r="C41" s="151">
        <f>I30</f>
        <v>351.05</v>
      </c>
      <c r="D41" s="162">
        <f>SUM(C41*B41)</f>
        <v>60940.437915300936</v>
      </c>
      <c r="E41" s="171">
        <f>SUM(D39:D41)</f>
        <v>125864.87535211271</v>
      </c>
      <c r="F41" s="83"/>
      <c r="G41" s="83"/>
      <c r="H41" s="86"/>
      <c r="I41" s="86"/>
      <c r="J41" s="87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</row>
    <row r="42" spans="1:32" ht="12.75">
      <c r="A42" s="48" t="s">
        <v>88</v>
      </c>
      <c r="B42" s="48"/>
      <c r="C42" s="55"/>
      <c r="D42" s="163"/>
      <c r="E42" s="73">
        <f>E37-E41</f>
        <v>75095.85000000002</v>
      </c>
      <c r="F42" s="83"/>
      <c r="G42" s="83"/>
      <c r="H42" s="86"/>
      <c r="I42" s="86"/>
      <c r="J42" s="87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</row>
    <row r="43" spans="1:32" ht="12.75">
      <c r="A43" s="59" t="s">
        <v>179</v>
      </c>
      <c r="D43" s="73"/>
      <c r="E43" s="172">
        <f>J10+J11</f>
        <v>50095.85</v>
      </c>
      <c r="F43" s="83"/>
      <c r="G43" s="83"/>
      <c r="H43" s="86"/>
      <c r="I43" s="86"/>
      <c r="J43" s="87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</row>
    <row r="44" spans="1:32" ht="13.5" thickBot="1">
      <c r="A44" s="59" t="s">
        <v>84</v>
      </c>
      <c r="E44" s="173">
        <f>E42-E43</f>
        <v>25000.000000000022</v>
      </c>
      <c r="F44" s="83"/>
      <c r="G44" s="83"/>
      <c r="H44" s="86"/>
      <c r="I44" s="86"/>
      <c r="J44" s="87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</row>
    <row r="45" spans="1:32" ht="13.5" thickTop="1">
      <c r="A45" s="85"/>
      <c r="B45" s="88"/>
      <c r="C45" s="83"/>
      <c r="D45" s="83"/>
      <c r="E45" s="89"/>
      <c r="F45" s="83"/>
      <c r="G45" s="83"/>
      <c r="H45" s="86"/>
      <c r="I45" s="86"/>
      <c r="J45" s="87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</row>
    <row r="46" spans="1:32" ht="12.75">
      <c r="A46" s="84"/>
      <c r="B46" s="83"/>
      <c r="C46" s="83"/>
      <c r="D46" s="83"/>
      <c r="E46" s="89"/>
      <c r="F46" s="83"/>
      <c r="G46" s="83"/>
      <c r="H46" s="86"/>
      <c r="I46" s="86"/>
      <c r="J46" s="87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</row>
    <row r="47" spans="1:32" ht="12.75">
      <c r="A47" s="84"/>
      <c r="B47" s="83"/>
      <c r="C47" s="83"/>
      <c r="D47" s="83"/>
      <c r="E47" s="89"/>
      <c r="F47" s="83"/>
      <c r="G47" s="83"/>
      <c r="H47" s="86"/>
      <c r="I47" s="86"/>
      <c r="J47" s="87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</row>
    <row r="48" ht="12.75">
      <c r="A48" s="59"/>
    </row>
  </sheetData>
  <sheetProtection/>
  <mergeCells count="6">
    <mergeCell ref="I14:I15"/>
    <mergeCell ref="K14:K15"/>
    <mergeCell ref="D16:D17"/>
    <mergeCell ref="E16:E17"/>
    <mergeCell ref="D13:D14"/>
    <mergeCell ref="E13:E14"/>
  </mergeCells>
  <printOptions horizontalCentered="1"/>
  <pageMargins left="0.2362204724409449" right="0.2362204724409449" top="0.3937007874015748" bottom="0.3937007874015748" header="0" footer="0"/>
  <pageSetup horizontalDpi="300" verticalDpi="3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1"/>
  <sheetViews>
    <sheetView workbookViewId="0" topLeftCell="A1">
      <selection activeCell="H19" sqref="H19"/>
    </sheetView>
  </sheetViews>
  <sheetFormatPr defaultColWidth="11.421875" defaultRowHeight="12.75"/>
  <cols>
    <col min="1" max="1" width="25.00390625" style="0" customWidth="1"/>
    <col min="3" max="4" width="14.28125" style="0" bestFit="1" customWidth="1"/>
    <col min="5" max="5" width="13.28125" style="0" bestFit="1" customWidth="1"/>
    <col min="7" max="7" width="8.140625" style="0" customWidth="1"/>
  </cols>
  <sheetData>
    <row r="2" ht="15.75">
      <c r="A2" s="56" t="s">
        <v>197</v>
      </c>
    </row>
    <row r="4" ht="12.75">
      <c r="A4" t="s">
        <v>156</v>
      </c>
    </row>
    <row r="5" spans="1:3" ht="12.75">
      <c r="A5" t="s">
        <v>157</v>
      </c>
      <c r="C5" s="95">
        <v>140000</v>
      </c>
    </row>
    <row r="6" spans="1:4" ht="12.75">
      <c r="A6" t="s">
        <v>158</v>
      </c>
      <c r="C6" s="154">
        <f>'No. 1'!U38</f>
        <v>325380</v>
      </c>
      <c r="D6" s="47">
        <f>SUM(C5:C6)</f>
        <v>465380</v>
      </c>
    </row>
    <row r="8" spans="4:6" ht="12.75">
      <c r="D8" s="44">
        <v>3</v>
      </c>
      <c r="F8" s="44">
        <v>5</v>
      </c>
    </row>
    <row r="9" spans="2:7" s="44" customFormat="1" ht="12.75">
      <c r="B9" s="44">
        <v>1</v>
      </c>
      <c r="C9" s="44">
        <v>2</v>
      </c>
      <c r="D9" s="187" t="s">
        <v>164</v>
      </c>
      <c r="E9" s="44">
        <v>4</v>
      </c>
      <c r="F9" s="44" t="s">
        <v>166</v>
      </c>
      <c r="G9" s="187" t="s">
        <v>165</v>
      </c>
    </row>
    <row r="10" spans="1:8" ht="12.75">
      <c r="A10" s="35" t="s">
        <v>32</v>
      </c>
      <c r="B10" s="35" t="s">
        <v>83</v>
      </c>
      <c r="C10" s="35" t="s">
        <v>125</v>
      </c>
      <c r="D10" s="35" t="s">
        <v>162</v>
      </c>
      <c r="E10" s="35" t="s">
        <v>159</v>
      </c>
      <c r="F10" s="35" t="s">
        <v>160</v>
      </c>
      <c r="G10" s="35" t="s">
        <v>163</v>
      </c>
      <c r="H10" s="35" t="s">
        <v>161</v>
      </c>
    </row>
    <row r="11" spans="1:8" ht="12.75">
      <c r="A11" s="59" t="s">
        <v>144</v>
      </c>
      <c r="B11" s="49">
        <f>D6</f>
        <v>465380</v>
      </c>
      <c r="C11" s="147">
        <f>'No. 2'!D43</f>
        <v>64</v>
      </c>
      <c r="D11" s="178">
        <f>B11/C11</f>
        <v>7271.5625</v>
      </c>
      <c r="E11" s="148">
        <f>'No. 1'!D18</f>
        <v>42968.75</v>
      </c>
      <c r="F11" s="179">
        <f>E11/12</f>
        <v>3580.7291666666665</v>
      </c>
      <c r="G11" s="243">
        <f>D11/F11</f>
        <v>2.030749090909091</v>
      </c>
      <c r="H11" s="186">
        <v>41944</v>
      </c>
    </row>
    <row r="12" spans="1:8" ht="12.75">
      <c r="A12" s="59" t="s">
        <v>145</v>
      </c>
      <c r="B12" s="49">
        <f>B11</f>
        <v>465380</v>
      </c>
      <c r="C12" s="147">
        <f>'No. 2'!D44</f>
        <v>127.99999984000002</v>
      </c>
      <c r="D12" s="178">
        <f>B12/C12</f>
        <v>3635.781254544726</v>
      </c>
      <c r="E12" s="148">
        <f>'No. 1'!I18</f>
        <v>22916.666666666668</v>
      </c>
      <c r="F12" s="179">
        <f>E12/12</f>
        <v>1909.7222222222224</v>
      </c>
      <c r="G12" s="243">
        <f>D12/F12</f>
        <v>1.9038272751070564</v>
      </c>
      <c r="H12" s="186">
        <v>41944</v>
      </c>
    </row>
    <row r="13" spans="1:8" ht="12.75">
      <c r="A13" s="59" t="s">
        <v>146</v>
      </c>
      <c r="B13" s="49">
        <f>B12</f>
        <v>465380</v>
      </c>
      <c r="C13" s="147">
        <f>'No. 2'!D45</f>
        <v>236</v>
      </c>
      <c r="D13" s="178">
        <f>B13/C13</f>
        <v>1971.949152542373</v>
      </c>
      <c r="E13" s="148">
        <f>'No. 1'!N18</f>
        <v>13750</v>
      </c>
      <c r="F13" s="179">
        <f>E13/12</f>
        <v>1145.8333333333333</v>
      </c>
      <c r="G13" s="243">
        <f>D13/F13</f>
        <v>1.720973805855162</v>
      </c>
      <c r="H13" s="186">
        <v>41944</v>
      </c>
    </row>
    <row r="14" ht="12.75">
      <c r="D14" s="178" t="s">
        <v>41</v>
      </c>
    </row>
    <row r="16" spans="1:6" ht="12.75">
      <c r="A16" s="244" t="s">
        <v>198</v>
      </c>
      <c r="B16" s="178" t="s">
        <v>41</v>
      </c>
      <c r="D16" s="178" t="s">
        <v>41</v>
      </c>
      <c r="F16" s="178" t="s">
        <v>41</v>
      </c>
    </row>
    <row r="17" spans="1:6" ht="12.75">
      <c r="A17" t="s">
        <v>199</v>
      </c>
      <c r="B17" s="239">
        <v>3580.75</v>
      </c>
      <c r="D17" s="239">
        <v>1910</v>
      </c>
      <c r="E17" s="239"/>
      <c r="F17" s="239">
        <v>1146</v>
      </c>
    </row>
    <row r="18" spans="1:6" ht="12.75">
      <c r="A18" t="s">
        <v>200</v>
      </c>
      <c r="B18" s="239">
        <v>3580.75</v>
      </c>
      <c r="C18" s="47"/>
      <c r="D18" s="239">
        <v>1910</v>
      </c>
      <c r="E18" s="239"/>
      <c r="F18" s="239">
        <v>1146</v>
      </c>
    </row>
    <row r="19" spans="2:6" ht="13.5" thickBot="1">
      <c r="B19" s="241">
        <f>SUM(B17:B18)</f>
        <v>7161.5</v>
      </c>
      <c r="D19" s="240">
        <f>SUM(D17:D18)</f>
        <v>3820</v>
      </c>
      <c r="F19" s="240">
        <f>SUM(F17:F18)</f>
        <v>2292</v>
      </c>
    </row>
    <row r="20" spans="1:2" ht="13.5" thickTop="1">
      <c r="A20" t="s">
        <v>201</v>
      </c>
      <c r="B20" s="242">
        <v>1031.81</v>
      </c>
    </row>
    <row r="21" ht="13.5" thickBot="1">
      <c r="B21" s="240">
        <f>+B19+B20</f>
        <v>8193.31</v>
      </c>
    </row>
    <row r="22" ht="13.5" thickTop="1"/>
  </sheetData>
  <printOptions horizontalCentered="1"/>
  <pageMargins left="0.7874015748031497" right="0.7874015748031497" top="0.984251968503937" bottom="0.984251968503937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D19" sqref="D19"/>
    </sheetView>
  </sheetViews>
  <sheetFormatPr defaultColWidth="11.421875" defaultRowHeight="12.75"/>
  <cols>
    <col min="1" max="1" width="25.00390625" style="100" customWidth="1"/>
    <col min="2" max="6" width="10.7109375" style="100" customWidth="1"/>
    <col min="7" max="7" width="11.57421875" style="100" customWidth="1"/>
    <col min="8" max="8" width="12.8515625" style="100" customWidth="1"/>
    <col min="9" max="9" width="13.140625" style="100" customWidth="1"/>
    <col min="10" max="10" width="13.57421875" style="100" customWidth="1"/>
    <col min="11" max="16384" width="11.421875" style="100" customWidth="1"/>
  </cols>
  <sheetData>
    <row r="1" spans="1:9" ht="15.75">
      <c r="A1" s="247" t="s">
        <v>182</v>
      </c>
      <c r="B1" s="11"/>
      <c r="C1" s="11"/>
      <c r="D1" s="11"/>
      <c r="E1" s="11"/>
      <c r="F1" s="11"/>
      <c r="G1" s="11"/>
      <c r="H1" s="11"/>
      <c r="I1" s="12"/>
    </row>
    <row r="2" spans="1:9" ht="12.75">
      <c r="A2" s="216"/>
      <c r="B2" s="1"/>
      <c r="C2" s="1"/>
      <c r="D2" s="1"/>
      <c r="E2" s="1"/>
      <c r="F2" s="1"/>
      <c r="G2" s="1"/>
      <c r="H2" s="1"/>
      <c r="I2" s="217"/>
    </row>
    <row r="3" spans="1:9" s="101" customFormat="1" ht="12.75">
      <c r="A3" s="275" t="str">
        <f>'No. 1'!A1:N1</f>
        <v>RABINAL</v>
      </c>
      <c r="B3" s="276"/>
      <c r="C3" s="276"/>
      <c r="D3" s="276"/>
      <c r="E3" s="276"/>
      <c r="F3" s="276"/>
      <c r="G3" s="276"/>
      <c r="H3" s="276"/>
      <c r="I3" s="277"/>
    </row>
    <row r="4" spans="1:9" s="101" customFormat="1" ht="14.25">
      <c r="A4" s="102"/>
      <c r="B4" s="103"/>
      <c r="C4" s="103"/>
      <c r="D4" s="103"/>
      <c r="E4" s="103"/>
      <c r="F4" s="103"/>
      <c r="G4" s="103"/>
      <c r="H4" s="103"/>
      <c r="I4" s="104"/>
    </row>
    <row r="5" spans="1:9" ht="12.75">
      <c r="A5" s="105" t="s">
        <v>181</v>
      </c>
      <c r="B5" s="14"/>
      <c r="C5" s="14"/>
      <c r="D5" s="14"/>
      <c r="E5" s="14"/>
      <c r="F5" s="14"/>
      <c r="G5" s="14"/>
      <c r="H5" s="14"/>
      <c r="I5" s="21"/>
    </row>
    <row r="6" spans="1:9" ht="13.5" thickBot="1">
      <c r="A6" s="2"/>
      <c r="B6" s="3"/>
      <c r="C6" s="3"/>
      <c r="D6" s="3"/>
      <c r="E6" s="3"/>
      <c r="F6" s="3"/>
      <c r="G6" s="3"/>
      <c r="H6" s="3"/>
      <c r="I6" s="4"/>
    </row>
    <row r="7" spans="1:9" ht="12" customHeight="1" thickBot="1">
      <c r="A7" s="278" t="s">
        <v>4</v>
      </c>
      <c r="B7" s="278" t="s">
        <v>17</v>
      </c>
      <c r="C7" s="232" t="s">
        <v>19</v>
      </c>
      <c r="D7" s="233"/>
      <c r="E7" s="234"/>
      <c r="F7" s="278" t="s">
        <v>18</v>
      </c>
      <c r="G7" s="235" t="s">
        <v>2</v>
      </c>
      <c r="H7" s="236"/>
      <c r="I7" s="237"/>
    </row>
    <row r="8" spans="1:9" ht="12" customHeight="1" thickBot="1">
      <c r="A8" s="279"/>
      <c r="B8" s="231"/>
      <c r="C8" s="29" t="s">
        <v>50</v>
      </c>
      <c r="D8" s="29" t="s">
        <v>51</v>
      </c>
      <c r="E8" s="29" t="s">
        <v>52</v>
      </c>
      <c r="F8" s="279"/>
      <c r="G8" s="29" t="s">
        <v>50</v>
      </c>
      <c r="H8" s="29" t="s">
        <v>51</v>
      </c>
      <c r="I8" s="29" t="s">
        <v>52</v>
      </c>
    </row>
    <row r="9" spans="1:9" ht="12.75" customHeight="1">
      <c r="A9" s="46" t="s">
        <v>113</v>
      </c>
      <c r="B9" s="23"/>
      <c r="C9" s="23"/>
      <c r="D9" s="23"/>
      <c r="E9" s="23"/>
      <c r="F9" s="23"/>
      <c r="G9" s="23"/>
      <c r="H9" s="23"/>
      <c r="I9" s="19"/>
    </row>
    <row r="10" spans="1:9" ht="12.75" customHeight="1" hidden="1">
      <c r="A10" s="191" t="s">
        <v>170</v>
      </c>
      <c r="B10" s="80" t="s">
        <v>171</v>
      </c>
      <c r="C10" s="80">
        <f>0.15*12</f>
        <v>1.7999999999999998</v>
      </c>
      <c r="D10" s="80">
        <f>0.3*18</f>
        <v>5.3999999999999995</v>
      </c>
      <c r="E10" s="80">
        <f>0.45*24</f>
        <v>10.8</v>
      </c>
      <c r="F10" s="20">
        <v>0.7</v>
      </c>
      <c r="G10" s="118">
        <f aca="true" t="shared" si="0" ref="G10:G15">+(F10*C10)</f>
        <v>1.2599999999999998</v>
      </c>
      <c r="H10" s="118">
        <f aca="true" t="shared" si="1" ref="H10:H15">SUM(F10*D10)</f>
        <v>3.7799999999999994</v>
      </c>
      <c r="I10" s="118">
        <f aca="true" t="shared" si="2" ref="I10:I15">SUM(F10*E10)</f>
        <v>7.56</v>
      </c>
    </row>
    <row r="11" spans="1:9" ht="12.75" customHeight="1" hidden="1">
      <c r="A11" s="28" t="s">
        <v>75</v>
      </c>
      <c r="B11" s="80" t="s">
        <v>49</v>
      </c>
      <c r="C11" s="80">
        <f>0.175*12</f>
        <v>2.0999999999999996</v>
      </c>
      <c r="D11" s="80">
        <f>0.25*18</f>
        <v>4.5</v>
      </c>
      <c r="E11" s="80">
        <f>0.375*24</f>
        <v>9</v>
      </c>
      <c r="F11" s="20">
        <v>1.64</v>
      </c>
      <c r="G11" s="118">
        <f t="shared" si="0"/>
        <v>3.443999999999999</v>
      </c>
      <c r="H11" s="118">
        <f t="shared" si="1"/>
        <v>7.38</v>
      </c>
      <c r="I11" s="118">
        <f t="shared" si="2"/>
        <v>14.76</v>
      </c>
    </row>
    <row r="12" spans="1:12" ht="12.75" customHeight="1" hidden="1">
      <c r="A12" s="28" t="s">
        <v>76</v>
      </c>
      <c r="B12" s="80" t="s">
        <v>77</v>
      </c>
      <c r="C12" s="196">
        <f>0.022*12</f>
        <v>0.264</v>
      </c>
      <c r="D12" s="196">
        <f>0.023*18</f>
        <v>0.414</v>
      </c>
      <c r="E12" s="196">
        <f>0.024*24</f>
        <v>0.5760000000000001</v>
      </c>
      <c r="F12" s="20">
        <v>16</v>
      </c>
      <c r="G12" s="118">
        <f t="shared" si="0"/>
        <v>4.224</v>
      </c>
      <c r="H12" s="118">
        <f t="shared" si="1"/>
        <v>6.624</v>
      </c>
      <c r="I12" s="118">
        <f t="shared" si="2"/>
        <v>9.216000000000001</v>
      </c>
      <c r="L12" s="107"/>
    </row>
    <row r="13" spans="1:9" ht="12.75" customHeight="1" hidden="1">
      <c r="A13" s="18" t="s">
        <v>78</v>
      </c>
      <c r="B13" s="80" t="s">
        <v>79</v>
      </c>
      <c r="C13" s="80">
        <f>1.25*12</f>
        <v>15</v>
      </c>
      <c r="D13" s="80">
        <f>2*18</f>
        <v>36</v>
      </c>
      <c r="E13" s="80">
        <f>2.5*24</f>
        <v>60</v>
      </c>
      <c r="F13" s="20">
        <v>0.04</v>
      </c>
      <c r="G13" s="118">
        <f t="shared" si="0"/>
        <v>0.6</v>
      </c>
      <c r="H13" s="118">
        <f t="shared" si="1"/>
        <v>1.44</v>
      </c>
      <c r="I13" s="118">
        <f t="shared" si="2"/>
        <v>2.4</v>
      </c>
    </row>
    <row r="14" spans="1:9" ht="12.75" customHeight="1" hidden="1">
      <c r="A14" s="18" t="s">
        <v>112</v>
      </c>
      <c r="B14" s="80" t="s">
        <v>49</v>
      </c>
      <c r="C14" s="80">
        <f>0.5*12</f>
        <v>6</v>
      </c>
      <c r="D14" s="80">
        <f>0.75*18</f>
        <v>13.5</v>
      </c>
      <c r="E14" s="80">
        <f>1*24</f>
        <v>24</v>
      </c>
      <c r="F14" s="20">
        <v>4.54</v>
      </c>
      <c r="G14" s="118">
        <f t="shared" si="0"/>
        <v>27.240000000000002</v>
      </c>
      <c r="H14" s="118">
        <f t="shared" si="1"/>
        <v>61.29</v>
      </c>
      <c r="I14" s="118">
        <f t="shared" si="2"/>
        <v>108.96000000000001</v>
      </c>
    </row>
    <row r="15" spans="1:9" ht="12.75" customHeight="1" hidden="1">
      <c r="A15" s="18" t="s">
        <v>80</v>
      </c>
      <c r="B15" s="80" t="s">
        <v>49</v>
      </c>
      <c r="C15" s="80">
        <f>0.225*12</f>
        <v>2.7</v>
      </c>
      <c r="D15" s="80">
        <f>0.275*18</f>
        <v>4.95</v>
      </c>
      <c r="E15" s="80">
        <f>0.45*24</f>
        <v>10.8</v>
      </c>
      <c r="F15" s="20">
        <v>7.12</v>
      </c>
      <c r="G15" s="118">
        <f t="shared" si="0"/>
        <v>19.224</v>
      </c>
      <c r="H15" s="118">
        <f t="shared" si="1"/>
        <v>35.244</v>
      </c>
      <c r="I15" s="118">
        <f t="shared" si="2"/>
        <v>76.896</v>
      </c>
    </row>
    <row r="16" spans="1:9" ht="12.75" customHeight="1" hidden="1">
      <c r="A16" s="18" t="s">
        <v>81</v>
      </c>
      <c r="B16" s="80" t="s">
        <v>21</v>
      </c>
      <c r="C16" s="80">
        <v>12</v>
      </c>
      <c r="D16" s="80">
        <v>18</v>
      </c>
      <c r="E16" s="80">
        <v>24</v>
      </c>
      <c r="F16" s="20"/>
      <c r="G16" s="118">
        <v>5.388</v>
      </c>
      <c r="H16" s="118">
        <v>13.32</v>
      </c>
      <c r="I16" s="118">
        <v>26.76</v>
      </c>
    </row>
    <row r="17" spans="1:9" ht="12.75" customHeight="1" hidden="1" thickBot="1">
      <c r="A17" s="18" t="s">
        <v>82</v>
      </c>
      <c r="B17" s="80" t="s">
        <v>21</v>
      </c>
      <c r="C17" s="80">
        <v>1</v>
      </c>
      <c r="D17" s="80">
        <v>1</v>
      </c>
      <c r="E17" s="80">
        <v>1</v>
      </c>
      <c r="F17" s="20"/>
      <c r="G17" s="125">
        <v>3.08</v>
      </c>
      <c r="H17" s="125">
        <v>2.3</v>
      </c>
      <c r="I17" s="125">
        <v>1.486</v>
      </c>
    </row>
    <row r="18" spans="1:9" ht="12.75" customHeight="1" hidden="1">
      <c r="A18" s="18"/>
      <c r="B18" s="80"/>
      <c r="C18" s="80"/>
      <c r="D18" s="80"/>
      <c r="E18" s="80"/>
      <c r="F18" s="20"/>
      <c r="G18" s="108"/>
      <c r="H18" s="108"/>
      <c r="I18" s="108"/>
    </row>
    <row r="19" spans="1:9" ht="12.75" customHeight="1">
      <c r="A19" s="72" t="s">
        <v>180</v>
      </c>
      <c r="B19" s="6"/>
      <c r="C19" s="6"/>
      <c r="D19" s="6"/>
      <c r="E19" s="6"/>
      <c r="F19" s="6"/>
      <c r="G19" s="124">
        <f>SUM(G10:G18)</f>
        <v>64.46000000000001</v>
      </c>
      <c r="H19" s="124">
        <f>SUM(H10:H18)</f>
        <v>131.37800000000001</v>
      </c>
      <c r="I19" s="124">
        <f>SUM(I10:I18)</f>
        <v>248.038</v>
      </c>
    </row>
    <row r="20" spans="1:9" ht="12.75" customHeight="1">
      <c r="A20" s="72"/>
      <c r="B20" s="5"/>
      <c r="C20" s="5"/>
      <c r="D20" s="5"/>
      <c r="E20" s="5"/>
      <c r="F20" s="5"/>
      <c r="G20" s="109"/>
      <c r="H20" s="109"/>
      <c r="I20" s="109"/>
    </row>
    <row r="21" spans="1:9" ht="12.75" customHeight="1">
      <c r="A21" s="30" t="s">
        <v>114</v>
      </c>
      <c r="B21" s="110" t="s">
        <v>12</v>
      </c>
      <c r="C21" s="111">
        <f>'No. 1'!B19/'No. 1'!B20</f>
        <v>0.384</v>
      </c>
      <c r="D21" s="111">
        <f>'No. 1'!G19/'No. 1'!G20</f>
        <v>0.72</v>
      </c>
      <c r="E21" s="111">
        <f>'No. 1'!L19/'No. 1'!L20</f>
        <v>1.2</v>
      </c>
      <c r="F21" s="20">
        <f>'No. 1'!B25/'No. 1'!B26</f>
        <v>14.6</v>
      </c>
      <c r="G21" s="117">
        <f>+(F21*C21)</f>
        <v>5.6064</v>
      </c>
      <c r="H21" s="119">
        <f>SUM(F21*D21)</f>
        <v>10.511999999999999</v>
      </c>
      <c r="I21" s="120">
        <f>SUM(F21*E21)</f>
        <v>17.52</v>
      </c>
    </row>
    <row r="22" spans="1:9" ht="12.75" customHeight="1">
      <c r="A22" s="30"/>
      <c r="B22" s="110"/>
      <c r="C22" s="111"/>
      <c r="D22" s="111"/>
      <c r="E22" s="111"/>
      <c r="F22" s="20"/>
      <c r="G22" s="121"/>
      <c r="H22" s="122"/>
      <c r="I22" s="121"/>
    </row>
    <row r="23" spans="1:9" ht="12.75" customHeight="1">
      <c r="A23" s="30" t="s">
        <v>115</v>
      </c>
      <c r="B23" s="110"/>
      <c r="C23" s="111"/>
      <c r="D23" s="111"/>
      <c r="E23" s="111"/>
      <c r="F23" s="20"/>
      <c r="G23" s="121"/>
      <c r="H23" s="122"/>
      <c r="I23" s="121"/>
    </row>
    <row r="24" spans="1:9" ht="12.75" customHeight="1">
      <c r="A24" s="30" t="s">
        <v>53</v>
      </c>
      <c r="B24" s="110" t="s">
        <v>12</v>
      </c>
      <c r="C24" s="111">
        <f>'No. 1'!B19/'No. 1'!B20</f>
        <v>0.384</v>
      </c>
      <c r="D24" s="111">
        <f>'No. 1'!G19/'No. 1'!G20</f>
        <v>0.72</v>
      </c>
      <c r="E24" s="111">
        <f>'No. 1'!L19/'No. 1'!L20</f>
        <v>1.2</v>
      </c>
      <c r="F24" s="123">
        <f>'No. 1'!F31</f>
        <v>42.504</v>
      </c>
      <c r="G24" s="121">
        <f>+(F24*C24)</f>
        <v>16.321536</v>
      </c>
      <c r="H24" s="109">
        <f>SUM(F24*D24)</f>
        <v>30.60288</v>
      </c>
      <c r="I24" s="117">
        <f>SUM(F24*E24)</f>
        <v>51.004799999999996</v>
      </c>
    </row>
    <row r="25" spans="1:9" ht="12.75" customHeight="1">
      <c r="A25" s="18"/>
      <c r="B25" s="6"/>
      <c r="C25" s="6"/>
      <c r="D25" s="6"/>
      <c r="E25" s="6"/>
      <c r="F25" s="6"/>
      <c r="G25" s="106"/>
      <c r="H25" s="106"/>
      <c r="I25" s="106"/>
    </row>
    <row r="26" spans="1:9" ht="12.75" customHeight="1" thickBot="1">
      <c r="A26" s="30" t="s">
        <v>116</v>
      </c>
      <c r="B26" s="110"/>
      <c r="C26" s="111"/>
      <c r="D26" s="111"/>
      <c r="E26" s="111"/>
      <c r="F26" s="20"/>
      <c r="G26" s="189">
        <f>0.098712*12</f>
        <v>1.1845439999999998</v>
      </c>
      <c r="H26" s="215">
        <f>0.0947511*18</f>
        <v>1.7055198</v>
      </c>
      <c r="I26" s="190">
        <f>0.08755*24</f>
        <v>2.1012</v>
      </c>
    </row>
    <row r="27" spans="1:9" ht="12.75" customHeight="1" thickBot="1">
      <c r="A27" s="272" t="s">
        <v>167</v>
      </c>
      <c r="B27" s="273"/>
      <c r="C27" s="273"/>
      <c r="D27" s="273"/>
      <c r="E27" s="273"/>
      <c r="F27" s="274"/>
      <c r="G27" s="225">
        <f>SUM(G19:G26)</f>
        <v>87.57248</v>
      </c>
      <c r="H27" s="225">
        <f>SUM(H19:H26)</f>
        <v>174.1983998</v>
      </c>
      <c r="I27" s="225">
        <f>SUM(I19:I26)</f>
        <v>318.664</v>
      </c>
    </row>
    <row r="28" spans="1:10" ht="12.75" customHeight="1" thickTop="1">
      <c r="A28" s="18"/>
      <c r="B28" s="6"/>
      <c r="C28" s="6"/>
      <c r="D28" s="6"/>
      <c r="E28" s="6"/>
      <c r="F28" s="6"/>
      <c r="G28" s="188">
        <v>80</v>
      </c>
      <c r="H28" s="188">
        <v>160</v>
      </c>
      <c r="I28" s="188">
        <v>295</v>
      </c>
      <c r="J28" s="126"/>
    </row>
    <row r="29" spans="1:9" ht="12.75" customHeight="1">
      <c r="A29" s="28"/>
      <c r="B29" s="6"/>
      <c r="C29" s="6"/>
      <c r="D29" s="6"/>
      <c r="E29" s="6"/>
      <c r="F29" s="6"/>
      <c r="G29" s="106">
        <f>+G27-G28</f>
        <v>7.572479999999999</v>
      </c>
      <c r="H29" s="106">
        <f>+H27-H28</f>
        <v>14.198399800000004</v>
      </c>
      <c r="I29" s="106">
        <f>+I27-I28</f>
        <v>23.663999999999987</v>
      </c>
    </row>
    <row r="30" spans="1:9" ht="12.75" customHeight="1">
      <c r="A30" s="112"/>
      <c r="B30" s="9"/>
      <c r="C30" s="9"/>
      <c r="D30" s="9"/>
      <c r="E30" s="9"/>
      <c r="F30" s="9"/>
      <c r="G30" s="245">
        <f>+G29*F34</f>
        <v>3028.9919999999993</v>
      </c>
      <c r="H30" s="245">
        <f>+H29*F35</f>
        <v>1419.8399800000004</v>
      </c>
      <c r="I30" s="246">
        <f>+I29*F36</f>
        <v>1656.479999999999</v>
      </c>
    </row>
    <row r="31" spans="1:11" ht="12.75" customHeight="1">
      <c r="A31" s="112"/>
      <c r="B31" s="9"/>
      <c r="C31" s="9"/>
      <c r="D31" s="1">
        <v>3</v>
      </c>
      <c r="E31" s="9"/>
      <c r="F31" s="1">
        <v>5</v>
      </c>
      <c r="G31" s="9"/>
      <c r="H31" s="1">
        <v>7</v>
      </c>
      <c r="I31" s="1"/>
      <c r="J31" s="1">
        <v>9</v>
      </c>
      <c r="K31" s="1"/>
    </row>
    <row r="32" spans="1:11" ht="12.75" customHeight="1">
      <c r="A32" s="112"/>
      <c r="B32" s="1">
        <v>1</v>
      </c>
      <c r="C32" s="1">
        <v>2</v>
      </c>
      <c r="D32" s="1" t="s">
        <v>191</v>
      </c>
      <c r="E32" s="1">
        <v>4</v>
      </c>
      <c r="F32" s="230" t="s">
        <v>192</v>
      </c>
      <c r="G32" s="1">
        <v>6</v>
      </c>
      <c r="H32" s="1" t="s">
        <v>193</v>
      </c>
      <c r="I32" s="1">
        <v>8</v>
      </c>
      <c r="J32" s="1" t="s">
        <v>194</v>
      </c>
      <c r="K32" s="230" t="s">
        <v>195</v>
      </c>
    </row>
    <row r="33" spans="1:11" s="13" customFormat="1" ht="12.75" customHeight="1">
      <c r="A33" s="221" t="s">
        <v>183</v>
      </c>
      <c r="B33" s="9" t="s">
        <v>184</v>
      </c>
      <c r="C33" s="9" t="s">
        <v>1</v>
      </c>
      <c r="D33" s="9" t="s">
        <v>189</v>
      </c>
      <c r="E33" s="9" t="s">
        <v>3</v>
      </c>
      <c r="F33" s="9" t="s">
        <v>185</v>
      </c>
      <c r="G33" s="9" t="s">
        <v>186</v>
      </c>
      <c r="H33" s="9" t="s">
        <v>187</v>
      </c>
      <c r="I33" s="222" t="s">
        <v>48</v>
      </c>
      <c r="J33" s="220" t="s">
        <v>188</v>
      </c>
      <c r="K33" s="220" t="s">
        <v>190</v>
      </c>
    </row>
    <row r="34" spans="1:11" ht="12.75" customHeight="1">
      <c r="A34" s="59" t="s">
        <v>144</v>
      </c>
      <c r="B34" s="1">
        <f>'No. 1'!B49/12</f>
        <v>850</v>
      </c>
      <c r="C34" s="1">
        <f>'No. 1'!B50/12</f>
        <v>1550</v>
      </c>
      <c r="D34" s="1">
        <f>B34+C34</f>
        <v>2400</v>
      </c>
      <c r="E34" s="32">
        <f>'No. 3'!B38</f>
        <v>2000</v>
      </c>
      <c r="F34" s="32">
        <f>D34-E34</f>
        <v>400</v>
      </c>
      <c r="G34" s="226">
        <f>G27</f>
        <v>87.57248</v>
      </c>
      <c r="H34" s="224">
        <f>F34*G34</f>
        <v>35028.992</v>
      </c>
      <c r="I34" s="113">
        <f>'No. 2'!G26</f>
        <v>80</v>
      </c>
      <c r="J34" s="227">
        <f>F34*I34</f>
        <v>32000</v>
      </c>
      <c r="K34" s="229">
        <f>H34-J34</f>
        <v>3028.9919999999984</v>
      </c>
    </row>
    <row r="35" spans="1:11" ht="12.75" customHeight="1">
      <c r="A35" s="59" t="s">
        <v>145</v>
      </c>
      <c r="B35" s="1">
        <f>'No. 1'!D49/18</f>
        <v>850</v>
      </c>
      <c r="C35" s="1">
        <f>'No. 1'!D50/18</f>
        <v>1000</v>
      </c>
      <c r="D35" s="1">
        <f>B35+C35</f>
        <v>1850</v>
      </c>
      <c r="E35" s="32">
        <f>'No. 3'!B39</f>
        <v>1750</v>
      </c>
      <c r="F35" s="32">
        <f>D35-E35</f>
        <v>100</v>
      </c>
      <c r="G35" s="226">
        <f>H27</f>
        <v>174.1983998</v>
      </c>
      <c r="H35" s="224">
        <f>F35*G35</f>
        <v>17419.83998</v>
      </c>
      <c r="I35" s="113">
        <f>'No. 2'!H26</f>
        <v>159.9999998</v>
      </c>
      <c r="J35" s="227">
        <f>F35*I35</f>
        <v>15999.99998</v>
      </c>
      <c r="K35" s="229">
        <f>H35-J35</f>
        <v>1419.8400000000001</v>
      </c>
    </row>
    <row r="36" spans="1:11" ht="12.75" customHeight="1">
      <c r="A36" s="59" t="s">
        <v>146</v>
      </c>
      <c r="B36" s="1">
        <f>'No. 1'!E49/24</f>
        <v>1050</v>
      </c>
      <c r="C36" s="1">
        <f>'No. 1'!E50/24</f>
        <v>420</v>
      </c>
      <c r="D36" s="1">
        <f>B36+C36</f>
        <v>1470</v>
      </c>
      <c r="E36" s="32">
        <f>'No. 3'!B40</f>
        <v>1400</v>
      </c>
      <c r="F36" s="32">
        <f>D36-E36</f>
        <v>70</v>
      </c>
      <c r="G36" s="226">
        <f>I27</f>
        <v>318.664</v>
      </c>
      <c r="H36" s="224">
        <f>F36*G36</f>
        <v>22306.48</v>
      </c>
      <c r="I36" s="113">
        <f>'No. 2'!I26</f>
        <v>295</v>
      </c>
      <c r="J36" s="227">
        <f>F36*I36</f>
        <v>20650</v>
      </c>
      <c r="K36" s="229">
        <f>H36-J36</f>
        <v>1656.4799999999996</v>
      </c>
    </row>
    <row r="37" spans="1:11" ht="12.75" customHeight="1" thickBot="1">
      <c r="A37" s="112"/>
      <c r="B37" s="9"/>
      <c r="C37" s="9"/>
      <c r="D37" s="9"/>
      <c r="E37" s="9"/>
      <c r="F37" s="9"/>
      <c r="G37" s="9"/>
      <c r="H37" s="228">
        <f>SUM(H34:H36)</f>
        <v>74755.31198</v>
      </c>
      <c r="I37" s="113"/>
      <c r="J37" s="228">
        <f>SUM(J34:J36)</f>
        <v>68649.99998</v>
      </c>
      <c r="K37" s="228">
        <f>SUM(K34:K36)</f>
        <v>6105.311999999998</v>
      </c>
    </row>
    <row r="38" spans="1:9" ht="12.75" customHeight="1" thickTop="1">
      <c r="A38" s="112"/>
      <c r="B38" s="9"/>
      <c r="C38" s="9"/>
      <c r="D38" s="9"/>
      <c r="E38" s="9"/>
      <c r="F38" s="9"/>
      <c r="G38" s="9"/>
      <c r="H38" s="9"/>
      <c r="I38" s="113"/>
    </row>
    <row r="39" spans="1:9" ht="12.75" customHeight="1">
      <c r="A39" s="112"/>
      <c r="B39" s="9"/>
      <c r="C39" s="9"/>
      <c r="D39" s="9"/>
      <c r="E39" s="9"/>
      <c r="F39" s="9"/>
      <c r="G39" s="9"/>
      <c r="H39" s="9"/>
      <c r="I39" s="113"/>
    </row>
    <row r="40" spans="1:9" ht="12.75" customHeight="1">
      <c r="A40" s="112"/>
      <c r="B40" s="9"/>
      <c r="C40" s="9"/>
      <c r="D40" s="9"/>
      <c r="E40" s="9"/>
      <c r="F40" s="9"/>
      <c r="G40" s="9"/>
      <c r="H40" s="9"/>
      <c r="I40" s="113"/>
    </row>
    <row r="41" spans="1:9" ht="12.75" customHeight="1">
      <c r="A41" s="112"/>
      <c r="B41" s="9"/>
      <c r="C41" s="9"/>
      <c r="D41" s="9"/>
      <c r="E41" s="9"/>
      <c r="F41" s="9"/>
      <c r="G41" s="9"/>
      <c r="H41" s="9"/>
      <c r="I41" s="113"/>
    </row>
    <row r="42" spans="1:9" ht="12.75" customHeight="1">
      <c r="A42" s="112"/>
      <c r="B42" s="9"/>
      <c r="C42" s="9"/>
      <c r="D42" s="9"/>
      <c r="E42" s="9"/>
      <c r="F42" s="9"/>
      <c r="G42" s="9"/>
      <c r="H42" s="9"/>
      <c r="I42" s="113"/>
    </row>
    <row r="43" spans="1:9" ht="12.75" customHeight="1">
      <c r="A43" s="112"/>
      <c r="B43" s="9"/>
      <c r="C43" s="9"/>
      <c r="D43" s="9"/>
      <c r="E43" s="9"/>
      <c r="F43" s="9"/>
      <c r="G43" s="9"/>
      <c r="H43" s="9"/>
      <c r="I43" s="113"/>
    </row>
    <row r="44" spans="1:9" ht="12.75" customHeight="1">
      <c r="A44" s="112"/>
      <c r="B44" s="9"/>
      <c r="C44" s="9"/>
      <c r="D44" s="9"/>
      <c r="E44" s="9"/>
      <c r="F44" s="9"/>
      <c r="G44" s="9"/>
      <c r="H44" s="9"/>
      <c r="I44" s="113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</sheetData>
  <mergeCells count="7">
    <mergeCell ref="A27:F27"/>
    <mergeCell ref="A3:I3"/>
    <mergeCell ref="A7:A8"/>
    <mergeCell ref="B7:B8"/>
    <mergeCell ref="C7:E7"/>
    <mergeCell ref="F7:F8"/>
    <mergeCell ref="G7:I7"/>
  </mergeCells>
  <printOptions/>
  <pageMargins left="0.33" right="0.29" top="1" bottom="1" header="0" footer="0"/>
  <pageSetup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BEBA</cp:lastModifiedBy>
  <cp:lastPrinted>2014-10-26T03:40:25Z</cp:lastPrinted>
  <dcterms:created xsi:type="dcterms:W3CDTF">2003-05-20T03:57:30Z</dcterms:created>
  <dcterms:modified xsi:type="dcterms:W3CDTF">2014-11-08T14:23:03Z</dcterms:modified>
  <cp:category/>
  <cp:version/>
  <cp:contentType/>
  <cp:contentStatus/>
</cp:coreProperties>
</file>